
<file path=[Content_Types].xml><?xml version="1.0" encoding="utf-8"?>
<Types xmlns="http://schemas.openxmlformats.org/package/2006/content-types">
  <Default Extension="bin" ContentType="application/vnd.openxmlformats-officedocument.spreadsheetml.printerSettings"/>
  <Override PartName="/xl/embeddings/oleObject7.bin" ContentType="application/vnd.openxmlformats-officedocument.oleObject"/>
  <Override PartName="/xl/embeddings/oleObject8.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Override PartName="/xl/charts/chart4.xml" ContentType="application/vnd.openxmlformats-officedocument.drawingml.chart+xml"/>
  <Override PartName="/xl/embeddings/oleObject3.bin" ContentType="application/vnd.openxmlformats-officedocument.oleObject"/>
  <Override PartName="/xl/embeddings/oleObject4.bin" ContentType="application/vnd.openxmlformats-officedocument.oleObject"/>
  <Default Extension="emf" ContentType="image/x-emf"/>
  <Override PartName="/xl/charts/chart2.xml" ContentType="application/vnd.openxmlformats-officedocument.drawingml.chart+xml"/>
  <Override PartName="/xl/embeddings/oleObject10.bin" ContentType="application/vnd.openxmlformats-officedocument.oleObject"/>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embeddings/oleObject9.bin" ContentType="application/vnd.openxmlformats-officedocument.oleObject"/>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0" yWindow="90" windowWidth="19200" windowHeight="11640" activeTab="1"/>
  </bookViews>
  <sheets>
    <sheet name="Elec. Spec." sheetId="5" r:id="rId1"/>
    <sheet name="Design Tool" sheetId="1" r:id="rId2"/>
    <sheet name="BodePlot_iLoop" sheetId="4" r:id="rId3"/>
    <sheet name="BodePlot_vLoop" sheetId="3" r:id="rId4"/>
  </sheets>
  <definedNames>
    <definedName name="Aidc">'Design Tool'!$D$84</definedName>
    <definedName name="Cf1_eg">'Design Tool'!$D$107</definedName>
    <definedName name="Cic">'Design Tool'!$D$89</definedName>
    <definedName name="Cic0">'Design Tool'!$D$88</definedName>
    <definedName name="Cin_eg">'Design Tool'!$D$108</definedName>
    <definedName name="Cip">'Design Tool'!$D$87</definedName>
    <definedName name="Cip_Cic">'Design Tool'!$D$85</definedName>
    <definedName name="Cip0">'Design Tool'!$D$86</definedName>
    <definedName name="Cneg">'Design Tool'!$D$105</definedName>
    <definedName name="Cout">'Design Tool'!$D$63</definedName>
    <definedName name="Cout_min">'Design Tool'!$D$62</definedName>
    <definedName name="Cvc">'Design Tool'!$D$139</definedName>
    <definedName name="Cvc_Cvp">'Design Tool'!$D$135</definedName>
    <definedName name="Cvc_S_Cvp">BodePlot_vLoop!$N$1</definedName>
    <definedName name="Cvc0">'Design Tool'!$D$138</definedName>
    <definedName name="Cvp">'Design Tool'!$D$137</definedName>
    <definedName name="CVp0">'Design Tool'!$D$136</definedName>
    <definedName name="Df">BodePlot_vLoop!$E$5</definedName>
    <definedName name="DFi">BodePlot_iLoop!$E$5</definedName>
    <definedName name="Eff">'Design Tool'!$C$19</definedName>
    <definedName name="Eff_eg">'Design Tool'!$D$111</definedName>
    <definedName name="Eff_min">'Design Tool'!$C$19</definedName>
    <definedName name="Eoff">'Design Tool'!$D$53</definedName>
    <definedName name="Eon">'Design Tool'!$D$52</definedName>
    <definedName name="ESR">'Design Tool'!$D$65</definedName>
    <definedName name="Fc">'Design Tool'!$D$78</definedName>
    <definedName name="Fcv">'Design Tool'!$D$129</definedName>
    <definedName name="Fline">'Design Tool'!$D$16</definedName>
    <definedName name="Fp">'Design Tool'!$D$94</definedName>
    <definedName name="Fp0">'Design Tool'!$D$79</definedName>
    <definedName name="Fpv">'Design Tool'!$D$144</definedName>
    <definedName name="Fpv0">'Design Tool'!$D$130</definedName>
    <definedName name="Fsw">'Design Tool'!$D$21</definedName>
    <definedName name="Fz">'Design Tool'!$D$93</definedName>
    <definedName name="Fz0">'Design Tool'!$D$81</definedName>
    <definedName name="Fzv">'Design Tool'!$D$143</definedName>
    <definedName name="Fzv0">'Design Tool'!$D$132</definedName>
    <definedName name="Gdiv">'Design Tool'!$D$127</definedName>
    <definedName name="Gmi">'Design Tool'!$D$120</definedName>
    <definedName name="Gmi_min">'Design Tool'!$D$121</definedName>
    <definedName name="Gmv">'Design Tool'!$D$134</definedName>
    <definedName name="Gps">'Design Tool'!$D$133</definedName>
    <definedName name="Ia">'Design Tool'!$D$112</definedName>
    <definedName name="Ic">'Design Tool'!$D$113</definedName>
    <definedName name="Icneg">'Design Tool'!$D$115</definedName>
    <definedName name="Icorms_max">'Design Tool'!$D$64</definedName>
    <definedName name="Ids_max">'Design Tool'!$D$49</definedName>
    <definedName name="Iinave_max">'Design Tool'!$D$31</definedName>
    <definedName name="Iinmax">'Design Tool'!$D$25</definedName>
    <definedName name="Ilpeak">'Design Tool'!$D$28</definedName>
    <definedName name="Ioc">'Design Tool'!$D$72</definedName>
    <definedName name="Iout_max">'Design Tool'!$D$41</definedName>
    <definedName name="Kav">'Design Tool'!$D$123</definedName>
    <definedName name="Kbo">'Design Tool'!$D$102</definedName>
    <definedName name="Kbo_">'Design Tool'!$D$98</definedName>
    <definedName name="Kc">'Design Tool'!$D$36</definedName>
    <definedName name="Kd">'Design Tool'!$D$124</definedName>
    <definedName name="Lbst">'Design Tool'!$D$27</definedName>
    <definedName name="Pcond">'Design Tool'!$D$51</definedName>
    <definedName name="Pfd">'Design Tool'!$D$43</definedName>
    <definedName name="PI">'Design Tool'!$E$23</definedName>
    <definedName name="PMC">'Design Tool'!$D$80</definedName>
    <definedName name="Pmv">'Design Tool'!$D$131</definedName>
    <definedName name="Po_eg">'Design Tool'!$D$110</definedName>
    <definedName name="Pomax">'Design Tool'!$E$17</definedName>
    <definedName name="Prr">'Design Tool'!$D$56</definedName>
    <definedName name="Prrd">'Design Tool'!$D$45</definedName>
    <definedName name="Psw">'Design Tool'!$D$54</definedName>
    <definedName name="Qrr">'Design Tool'!$D$44</definedName>
    <definedName name="Qrr_">'Design Tool'!$D$55</definedName>
    <definedName name="Rcs">'Design Tool'!$D$70</definedName>
    <definedName name="Rcs_min">'Design Tool'!$D$69</definedName>
    <definedName name="Rds_on">'Design Tool'!$D$50</definedName>
    <definedName name="Ric">'Design Tool'!$D$91</definedName>
    <definedName name="Ric0">'Design Tool'!$D$90</definedName>
    <definedName name="Rin_1">'Design Tool'!$D$101</definedName>
    <definedName name="Rin1_">'Design Tool'!$D$100</definedName>
    <definedName name="Rin2_">'Design Tool'!$D$99</definedName>
    <definedName name="Ris">'Design Tool'!$D$122</definedName>
    <definedName name="Rsen">'Design Tool'!$D$74</definedName>
    <definedName name="Rsen_min">'Design Tool'!$D$73</definedName>
    <definedName name="Rvc">'Design Tool'!$D$141</definedName>
    <definedName name="Thold">'Design Tool'!$D$18</definedName>
    <definedName name="Vf">'Design Tool'!$D$42</definedName>
    <definedName name="Vfbr">'Design Tool'!$D$32</definedName>
    <definedName name="Vhold">'Design Tool'!$D$61</definedName>
    <definedName name="Vm">'Design Tool'!$D$83</definedName>
    <definedName name="Vout">'Design Tool'!$D$20</definedName>
    <definedName name="Vref">'Design Tool'!$D$126</definedName>
    <definedName name="Vrms_max">'Design Tool'!$E$15</definedName>
    <definedName name="Vrms_min">'Design Tool'!$C$15</definedName>
    <definedName name="Vrms_nom_H">'Design Tool'!$D$109</definedName>
  </definedNames>
  <calcPr calcId="125725"/>
</workbook>
</file>

<file path=xl/calcChain.xml><?xml version="1.0" encoding="utf-8"?>
<calcChain xmlns="http://schemas.openxmlformats.org/spreadsheetml/2006/main">
  <c r="D38" i="1"/>
  <c r="D36"/>
  <c r="D37" s="1"/>
  <c r="D107" s="1"/>
  <c r="D113" s="1"/>
  <c r="D94"/>
  <c r="D93"/>
  <c r="D144"/>
  <c r="D143"/>
  <c r="G10" i="4"/>
  <c r="G11"/>
  <c r="G12"/>
  <c r="G13"/>
  <c r="G14"/>
  <c r="G15"/>
  <c r="G16"/>
  <c r="G17"/>
  <c r="G18"/>
  <c r="G19"/>
  <c r="G20"/>
  <c r="G21"/>
  <c r="G22"/>
  <c r="G23"/>
  <c r="G24"/>
  <c r="G25"/>
  <c r="G26"/>
  <c r="G27"/>
  <c r="G28"/>
  <c r="G29"/>
  <c r="G30"/>
  <c r="G31"/>
  <c r="G32"/>
  <c r="G33"/>
  <c r="G34"/>
  <c r="G35"/>
  <c r="G36"/>
  <c r="G37"/>
  <c r="G38"/>
  <c r="G39"/>
  <c r="G40"/>
  <c r="G41"/>
  <c r="G42"/>
  <c r="G43"/>
  <c r="G44"/>
  <c r="G45"/>
  <c r="G46"/>
  <c r="G47"/>
  <c r="G48"/>
  <c r="C10"/>
  <c r="C11" s="1"/>
  <c r="G9"/>
  <c r="F3"/>
  <c r="F2"/>
  <c r="E5" s="1"/>
  <c r="G33" i="3"/>
  <c r="G34"/>
  <c r="G35"/>
  <c r="G36"/>
  <c r="G37"/>
  <c r="G38"/>
  <c r="G39"/>
  <c r="G40"/>
  <c r="G41"/>
  <c r="G42"/>
  <c r="G43"/>
  <c r="G44"/>
  <c r="G45"/>
  <c r="G46"/>
  <c r="G47"/>
  <c r="G48"/>
  <c r="C10"/>
  <c r="C11" s="1"/>
  <c r="C12" s="1"/>
  <c r="C13" s="1"/>
  <c r="C14" s="1"/>
  <c r="C15" s="1"/>
  <c r="C16" s="1"/>
  <c r="C17" s="1"/>
  <c r="C18" s="1"/>
  <c r="C19" s="1"/>
  <c r="C20" s="1"/>
  <c r="C21" s="1"/>
  <c r="G10"/>
  <c r="G11"/>
  <c r="G12"/>
  <c r="G13"/>
  <c r="G14"/>
  <c r="G15"/>
  <c r="G16"/>
  <c r="G17"/>
  <c r="G18"/>
  <c r="G19"/>
  <c r="G20"/>
  <c r="G21"/>
  <c r="G22"/>
  <c r="G23"/>
  <c r="G24"/>
  <c r="G25"/>
  <c r="G26"/>
  <c r="G27"/>
  <c r="G28"/>
  <c r="G29"/>
  <c r="G30"/>
  <c r="G31"/>
  <c r="G32"/>
  <c r="G9"/>
  <c r="F3"/>
  <c r="F2"/>
  <c r="E5" s="1"/>
  <c r="D98" i="1"/>
  <c r="D99"/>
  <c r="D102" s="1"/>
  <c r="D45"/>
  <c r="D132"/>
  <c r="D140" s="1"/>
  <c r="D127"/>
  <c r="H3" i="3" s="1"/>
  <c r="D123" i="1"/>
  <c r="D122"/>
  <c r="P13" i="4" s="1"/>
  <c r="D112" i="1"/>
  <c r="H81"/>
  <c r="D78"/>
  <c r="D79"/>
  <c r="D69"/>
  <c r="D62"/>
  <c r="D56"/>
  <c r="D54"/>
  <c r="D41"/>
  <c r="D43" s="1"/>
  <c r="D25"/>
  <c r="D26" s="1"/>
  <c r="D27" s="1"/>
  <c r="P43" i="4" l="1"/>
  <c r="P23" i="3"/>
  <c r="P39"/>
  <c r="P27" i="4"/>
  <c r="P19" i="3"/>
  <c r="P35"/>
  <c r="P47" i="4"/>
  <c r="P31"/>
  <c r="P35"/>
  <c r="P15" i="3"/>
  <c r="P31"/>
  <c r="P47"/>
  <c r="P11"/>
  <c r="P27"/>
  <c r="P43"/>
  <c r="P39" i="4"/>
  <c r="P12" i="3"/>
  <c r="P16"/>
  <c r="P20"/>
  <c r="P24"/>
  <c r="P28"/>
  <c r="P32"/>
  <c r="P36"/>
  <c r="P40"/>
  <c r="P44"/>
  <c r="P48"/>
  <c r="P46" i="4"/>
  <c r="P42"/>
  <c r="P38"/>
  <c r="P34"/>
  <c r="P30"/>
  <c r="P26"/>
  <c r="P22"/>
  <c r="P18"/>
  <c r="P14"/>
  <c r="P10"/>
  <c r="P23"/>
  <c r="P19"/>
  <c r="P15"/>
  <c r="P11"/>
  <c r="P10" i="3"/>
  <c r="P14"/>
  <c r="P18"/>
  <c r="P22"/>
  <c r="P26"/>
  <c r="P30"/>
  <c r="P34"/>
  <c r="P38"/>
  <c r="P42"/>
  <c r="P46"/>
  <c r="P48" i="4"/>
  <c r="P44"/>
  <c r="P40"/>
  <c r="P36"/>
  <c r="P32"/>
  <c r="P28"/>
  <c r="P24"/>
  <c r="P20"/>
  <c r="P16"/>
  <c r="P12"/>
  <c r="P9" i="3"/>
  <c r="P13"/>
  <c r="P17"/>
  <c r="P21"/>
  <c r="P25"/>
  <c r="P29"/>
  <c r="P33"/>
  <c r="P37"/>
  <c r="P41"/>
  <c r="P45"/>
  <c r="P9" i="4"/>
  <c r="P45"/>
  <c r="P41"/>
  <c r="P37"/>
  <c r="P33"/>
  <c r="P29"/>
  <c r="P25"/>
  <c r="P21"/>
  <c r="P17"/>
  <c r="D21" i="3"/>
  <c r="D10" i="4"/>
  <c r="E10" s="1"/>
  <c r="D11"/>
  <c r="E11" s="1"/>
  <c r="D9"/>
  <c r="E9" s="1"/>
  <c r="D9" i="3"/>
  <c r="D19"/>
  <c r="D15"/>
  <c r="D11"/>
  <c r="D20"/>
  <c r="D16"/>
  <c r="D12"/>
  <c r="D17"/>
  <c r="D13"/>
  <c r="D18"/>
  <c r="D14"/>
  <c r="D10"/>
  <c r="C12" i="4"/>
  <c r="D12" s="1"/>
  <c r="D124" i="1"/>
  <c r="D81"/>
  <c r="D31"/>
  <c r="D33" s="1"/>
  <c r="D66"/>
  <c r="D64"/>
  <c r="D49"/>
  <c r="D51" s="1"/>
  <c r="D58" s="1"/>
  <c r="D114"/>
  <c r="D100"/>
  <c r="D46"/>
  <c r="D71"/>
  <c r="D28"/>
  <c r="D73" s="1"/>
  <c r="M9" i="4" l="1"/>
  <c r="J9"/>
  <c r="H9"/>
  <c r="K9"/>
  <c r="L9"/>
  <c r="L10"/>
  <c r="H10"/>
  <c r="K10"/>
  <c r="M10"/>
  <c r="J10"/>
  <c r="F10"/>
  <c r="H11"/>
  <c r="K11"/>
  <c r="M11"/>
  <c r="J11"/>
  <c r="F11"/>
  <c r="L11"/>
  <c r="F9"/>
  <c r="C13"/>
  <c r="D13" s="1"/>
  <c r="E12"/>
  <c r="E10" i="3"/>
  <c r="E14"/>
  <c r="E9"/>
  <c r="E13"/>
  <c r="E11"/>
  <c r="E12"/>
  <c r="E15"/>
  <c r="E16"/>
  <c r="D85" i="1"/>
  <c r="D88" s="1"/>
  <c r="D90"/>
  <c r="D105"/>
  <c r="D115" s="1"/>
  <c r="D117" s="1"/>
  <c r="N10" i="4" l="1"/>
  <c r="Q10" s="1"/>
  <c r="N9"/>
  <c r="Q9" s="1"/>
  <c r="N11"/>
  <c r="Q11" s="1"/>
  <c r="M9" i="3"/>
  <c r="L9"/>
  <c r="K9"/>
  <c r="J9"/>
  <c r="M16"/>
  <c r="L16"/>
  <c r="J16"/>
  <c r="K16"/>
  <c r="L13"/>
  <c r="M13"/>
  <c r="K13"/>
  <c r="J13"/>
  <c r="L11"/>
  <c r="M11"/>
  <c r="J11"/>
  <c r="K11"/>
  <c r="L10"/>
  <c r="M10"/>
  <c r="J10"/>
  <c r="K10"/>
  <c r="M12"/>
  <c r="L12"/>
  <c r="J12"/>
  <c r="K12"/>
  <c r="L14"/>
  <c r="M14"/>
  <c r="J14"/>
  <c r="K14"/>
  <c r="L15"/>
  <c r="M15"/>
  <c r="J15"/>
  <c r="K15"/>
  <c r="O10" i="4"/>
  <c r="R10" s="1"/>
  <c r="O11"/>
  <c r="R11" s="1"/>
  <c r="K12"/>
  <c r="H12"/>
  <c r="M12"/>
  <c r="J12"/>
  <c r="L12"/>
  <c r="F12"/>
  <c r="O9"/>
  <c r="R9" s="1"/>
  <c r="C14"/>
  <c r="D14" s="1"/>
  <c r="E13"/>
  <c r="H11" i="3"/>
  <c r="F11"/>
  <c r="H12"/>
  <c r="F12"/>
  <c r="H14"/>
  <c r="F14"/>
  <c r="H13"/>
  <c r="F13"/>
  <c r="H16"/>
  <c r="F16"/>
  <c r="H15"/>
  <c r="F15"/>
  <c r="H9"/>
  <c r="F9"/>
  <c r="H10"/>
  <c r="F10"/>
  <c r="E17"/>
  <c r="D86" i="1"/>
  <c r="D133"/>
  <c r="D135" s="1"/>
  <c r="D138" s="1"/>
  <c r="D116"/>
  <c r="O12" i="3" l="1"/>
  <c r="R12" s="1"/>
  <c r="O16"/>
  <c r="R16" s="1"/>
  <c r="N12" i="4"/>
  <c r="Q12" s="1"/>
  <c r="L17" i="3"/>
  <c r="M17"/>
  <c r="K17"/>
  <c r="J17"/>
  <c r="M13" i="4"/>
  <c r="J13"/>
  <c r="L13"/>
  <c r="F13"/>
  <c r="K13"/>
  <c r="O13" s="1"/>
  <c r="R13" s="1"/>
  <c r="H13"/>
  <c r="O12"/>
  <c r="R12" s="1"/>
  <c r="C15"/>
  <c r="D15" s="1"/>
  <c r="E14"/>
  <c r="N15" i="3"/>
  <c r="Q15" s="1"/>
  <c r="O9"/>
  <c r="R9" s="1"/>
  <c r="N12"/>
  <c r="Q12" s="1"/>
  <c r="N11"/>
  <c r="Q11" s="1"/>
  <c r="N10"/>
  <c r="Q10" s="1"/>
  <c r="O15"/>
  <c r="R15" s="1"/>
  <c r="N14"/>
  <c r="Q14" s="1"/>
  <c r="O11"/>
  <c r="R11" s="1"/>
  <c r="N16"/>
  <c r="Q16" s="1"/>
  <c r="O10"/>
  <c r="R10" s="1"/>
  <c r="N9"/>
  <c r="Q9" s="1"/>
  <c r="O13"/>
  <c r="R13" s="1"/>
  <c r="O14"/>
  <c r="R14" s="1"/>
  <c r="N13"/>
  <c r="Q13" s="1"/>
  <c r="H17"/>
  <c r="F17"/>
  <c r="E18"/>
  <c r="D136" i="1"/>
  <c r="N13" i="4" l="1"/>
  <c r="Q13" s="1"/>
  <c r="L18" i="3"/>
  <c r="M18"/>
  <c r="J18"/>
  <c r="K18"/>
  <c r="L14" i="4"/>
  <c r="F14"/>
  <c r="K14"/>
  <c r="M14"/>
  <c r="J14"/>
  <c r="H14"/>
  <c r="E15"/>
  <c r="C16"/>
  <c r="D16" s="1"/>
  <c r="O17" i="3"/>
  <c r="R17" s="1"/>
  <c r="N17"/>
  <c r="Q17" s="1"/>
  <c r="H18"/>
  <c r="F18"/>
  <c r="E19"/>
  <c r="N14" i="4" l="1"/>
  <c r="Q14" s="1"/>
  <c r="L19" i="3"/>
  <c r="M19"/>
  <c r="J19"/>
  <c r="K19"/>
  <c r="F15" i="4"/>
  <c r="K15"/>
  <c r="M15"/>
  <c r="J15"/>
  <c r="H15"/>
  <c r="L15"/>
  <c r="O14"/>
  <c r="R14" s="1"/>
  <c r="C17"/>
  <c r="D17" s="1"/>
  <c r="E16"/>
  <c r="O18" i="3"/>
  <c r="R18" s="1"/>
  <c r="N18"/>
  <c r="Q18" s="1"/>
  <c r="H19"/>
  <c r="F19"/>
  <c r="E20"/>
  <c r="N15" i="4" l="1"/>
  <c r="Q15" s="1"/>
  <c r="M20" i="3"/>
  <c r="L20"/>
  <c r="J20"/>
  <c r="K20"/>
  <c r="O15" i="4"/>
  <c r="R15" s="1"/>
  <c r="K16"/>
  <c r="F16"/>
  <c r="M16"/>
  <c r="J16"/>
  <c r="L16"/>
  <c r="H16"/>
  <c r="E17"/>
  <c r="C18"/>
  <c r="D18" s="1"/>
  <c r="H20" i="3"/>
  <c r="F20"/>
  <c r="N19"/>
  <c r="Q19" s="1"/>
  <c r="O19"/>
  <c r="R19" s="1"/>
  <c r="E21"/>
  <c r="C22"/>
  <c r="D22" s="1"/>
  <c r="N16" i="4" l="1"/>
  <c r="Q16" s="1"/>
  <c r="L21" i="3"/>
  <c r="M21"/>
  <c r="K21"/>
  <c r="J21"/>
  <c r="M17" i="4"/>
  <c r="J17"/>
  <c r="L17"/>
  <c r="H17"/>
  <c r="K17"/>
  <c r="F17"/>
  <c r="O16"/>
  <c r="R16" s="1"/>
  <c r="C19"/>
  <c r="D19" s="1"/>
  <c r="E18"/>
  <c r="O20" i="3"/>
  <c r="R20" s="1"/>
  <c r="N20"/>
  <c r="Q20" s="1"/>
  <c r="H21"/>
  <c r="F21"/>
  <c r="C23"/>
  <c r="D23" s="1"/>
  <c r="E22"/>
  <c r="O17" i="4" l="1"/>
  <c r="R17" s="1"/>
  <c r="N17"/>
  <c r="Q17" s="1"/>
  <c r="L22" i="3"/>
  <c r="M22"/>
  <c r="J22"/>
  <c r="K22"/>
  <c r="L18" i="4"/>
  <c r="H18"/>
  <c r="K18"/>
  <c r="M18"/>
  <c r="J18"/>
  <c r="F18"/>
  <c r="O21" i="3"/>
  <c r="R21" s="1"/>
  <c r="E19" i="4"/>
  <c r="C20"/>
  <c r="D20" s="1"/>
  <c r="H22" i="3"/>
  <c r="F22"/>
  <c r="N21"/>
  <c r="Q21" s="1"/>
  <c r="C24"/>
  <c r="D24" s="1"/>
  <c r="E23"/>
  <c r="N18" i="4" l="1"/>
  <c r="Q18" s="1"/>
  <c r="L23" i="3"/>
  <c r="M23"/>
  <c r="J23"/>
  <c r="K23"/>
  <c r="H19" i="4"/>
  <c r="K19"/>
  <c r="M19"/>
  <c r="J19"/>
  <c r="F19"/>
  <c r="L19"/>
  <c r="O18"/>
  <c r="R18" s="1"/>
  <c r="C21"/>
  <c r="D21" s="1"/>
  <c r="E20"/>
  <c r="H23" i="3"/>
  <c r="F23"/>
  <c r="N22"/>
  <c r="Q22" s="1"/>
  <c r="O22"/>
  <c r="R22" s="1"/>
  <c r="C25"/>
  <c r="D25" s="1"/>
  <c r="E24"/>
  <c r="N19" i="4" l="1"/>
  <c r="Q19" s="1"/>
  <c r="M24" i="3"/>
  <c r="L24"/>
  <c r="J24"/>
  <c r="K24"/>
  <c r="O19" i="4"/>
  <c r="R19" s="1"/>
  <c r="K20"/>
  <c r="H20"/>
  <c r="M20"/>
  <c r="J20"/>
  <c r="L20"/>
  <c r="F20"/>
  <c r="E21"/>
  <c r="C22"/>
  <c r="D22" s="1"/>
  <c r="O23" i="3"/>
  <c r="R23" s="1"/>
  <c r="N23"/>
  <c r="Q23" s="1"/>
  <c r="H24"/>
  <c r="F24"/>
  <c r="C26"/>
  <c r="D26" s="1"/>
  <c r="E25"/>
  <c r="N20" i="4" l="1"/>
  <c r="Q20" s="1"/>
  <c r="L25" i="3"/>
  <c r="M25"/>
  <c r="K25"/>
  <c r="J25"/>
  <c r="M21" i="4"/>
  <c r="J21"/>
  <c r="L21"/>
  <c r="F21"/>
  <c r="K21"/>
  <c r="H21"/>
  <c r="O20"/>
  <c r="R20" s="1"/>
  <c r="C23"/>
  <c r="D23" s="1"/>
  <c r="E22"/>
  <c r="N24" i="3"/>
  <c r="Q24" s="1"/>
  <c r="O24"/>
  <c r="R24" s="1"/>
  <c r="H25"/>
  <c r="F25"/>
  <c r="C27"/>
  <c r="D27" s="1"/>
  <c r="E26"/>
  <c r="N21" i="4" l="1"/>
  <c r="Q21" s="1"/>
  <c r="O21"/>
  <c r="R21" s="1"/>
  <c r="L26" i="3"/>
  <c r="M26"/>
  <c r="J26"/>
  <c r="K26"/>
  <c r="L22" i="4"/>
  <c r="F22"/>
  <c r="K22"/>
  <c r="M22"/>
  <c r="J22"/>
  <c r="H22"/>
  <c r="E23"/>
  <c r="C24"/>
  <c r="D24" s="1"/>
  <c r="O25" i="3"/>
  <c r="R25" s="1"/>
  <c r="H26"/>
  <c r="F26"/>
  <c r="N25"/>
  <c r="Q25" s="1"/>
  <c r="C28"/>
  <c r="D28" s="1"/>
  <c r="E27"/>
  <c r="N22" i="4" l="1"/>
  <c r="Q22" s="1"/>
  <c r="L27" i="3"/>
  <c r="M27"/>
  <c r="J27"/>
  <c r="K27"/>
  <c r="O22" i="4"/>
  <c r="R22" s="1"/>
  <c r="F23"/>
  <c r="K23"/>
  <c r="M23"/>
  <c r="J23"/>
  <c r="H23"/>
  <c r="L23"/>
  <c r="C25"/>
  <c r="D25" s="1"/>
  <c r="E24"/>
  <c r="H27" i="3"/>
  <c r="F27"/>
  <c r="O26"/>
  <c r="R26" s="1"/>
  <c r="N26"/>
  <c r="Q26" s="1"/>
  <c r="C29"/>
  <c r="D29" s="1"/>
  <c r="E28"/>
  <c r="N23" i="4" l="1"/>
  <c r="Q23" s="1"/>
  <c r="M28" i="3"/>
  <c r="L28"/>
  <c r="J28"/>
  <c r="K28"/>
  <c r="O23" i="4"/>
  <c r="R23" s="1"/>
  <c r="K24"/>
  <c r="F24"/>
  <c r="M24"/>
  <c r="J24"/>
  <c r="L24"/>
  <c r="H24"/>
  <c r="O27" i="3"/>
  <c r="R27" s="1"/>
  <c r="E25" i="4"/>
  <c r="C26"/>
  <c r="D26" s="1"/>
  <c r="H28" i="3"/>
  <c r="F28"/>
  <c r="N27"/>
  <c r="Q27" s="1"/>
  <c r="E29"/>
  <c r="C30"/>
  <c r="D30" s="1"/>
  <c r="N24" i="4" l="1"/>
  <c r="Q24" s="1"/>
  <c r="L29" i="3"/>
  <c r="M29"/>
  <c r="K29"/>
  <c r="J29"/>
  <c r="M25" i="4"/>
  <c r="J25"/>
  <c r="L25"/>
  <c r="H25"/>
  <c r="K25"/>
  <c r="F25"/>
  <c r="O24"/>
  <c r="R24" s="1"/>
  <c r="C27"/>
  <c r="D27" s="1"/>
  <c r="E26"/>
  <c r="O28" i="3"/>
  <c r="R28" s="1"/>
  <c r="H29"/>
  <c r="F29"/>
  <c r="N28"/>
  <c r="Q28" s="1"/>
  <c r="C31"/>
  <c r="D31" s="1"/>
  <c r="E30"/>
  <c r="N25" i="4" l="1"/>
  <c r="Q25" s="1"/>
  <c r="L30" i="3"/>
  <c r="M30"/>
  <c r="J30"/>
  <c r="K30"/>
  <c r="O25" i="4"/>
  <c r="R25" s="1"/>
  <c r="L26"/>
  <c r="H26"/>
  <c r="K26"/>
  <c r="M26"/>
  <c r="J26"/>
  <c r="F26"/>
  <c r="E27"/>
  <c r="C28"/>
  <c r="D28" s="1"/>
  <c r="N29" i="3"/>
  <c r="Q29" s="1"/>
  <c r="O29"/>
  <c r="R29" s="1"/>
  <c r="F30"/>
  <c r="H30"/>
  <c r="C32"/>
  <c r="E31"/>
  <c r="N26" i="4" l="1"/>
  <c r="Q26" s="1"/>
  <c r="L31" i="3"/>
  <c r="M31"/>
  <c r="J31"/>
  <c r="K31"/>
  <c r="H27" i="4"/>
  <c r="K27"/>
  <c r="M27"/>
  <c r="J27"/>
  <c r="F27"/>
  <c r="L27"/>
  <c r="O26"/>
  <c r="R26" s="1"/>
  <c r="C33" i="3"/>
  <c r="D33" s="1"/>
  <c r="D32"/>
  <c r="E32" s="1"/>
  <c r="C29" i="4"/>
  <c r="D29" s="1"/>
  <c r="E28"/>
  <c r="C34" i="3"/>
  <c r="D34" s="1"/>
  <c r="E33"/>
  <c r="O30"/>
  <c r="R30" s="1"/>
  <c r="N30"/>
  <c r="Q30" s="1"/>
  <c r="H31"/>
  <c r="F31"/>
  <c r="N27" i="4" l="1"/>
  <c r="Q27" s="1"/>
  <c r="L33" i="3"/>
  <c r="M33"/>
  <c r="K33"/>
  <c r="J33"/>
  <c r="M32"/>
  <c r="L32"/>
  <c r="J32"/>
  <c r="K32"/>
  <c r="O27" i="4"/>
  <c r="R27" s="1"/>
  <c r="K28"/>
  <c r="H28"/>
  <c r="M28"/>
  <c r="J28"/>
  <c r="L28"/>
  <c r="F28"/>
  <c r="E29"/>
  <c r="C30"/>
  <c r="D30" s="1"/>
  <c r="E34" i="3"/>
  <c r="C35"/>
  <c r="D35" s="1"/>
  <c r="F33"/>
  <c r="H33"/>
  <c r="O31"/>
  <c r="R31" s="1"/>
  <c r="N31"/>
  <c r="Q31" s="1"/>
  <c r="H32"/>
  <c r="F32"/>
  <c r="O28" i="4" l="1"/>
  <c r="R28" s="1"/>
  <c r="N28"/>
  <c r="Q28" s="1"/>
  <c r="L34" i="3"/>
  <c r="M34"/>
  <c r="J34"/>
  <c r="K34"/>
  <c r="M29" i="4"/>
  <c r="J29"/>
  <c r="L29"/>
  <c r="F29"/>
  <c r="K29"/>
  <c r="H29"/>
  <c r="C31"/>
  <c r="D31" s="1"/>
  <c r="E30"/>
  <c r="O33" i="3"/>
  <c r="R33" s="1"/>
  <c r="H34"/>
  <c r="F34"/>
  <c r="N33"/>
  <c r="Q33" s="1"/>
  <c r="E35"/>
  <c r="C36"/>
  <c r="D36" s="1"/>
  <c r="O32"/>
  <c r="R32" s="1"/>
  <c r="N32"/>
  <c r="Q32" s="1"/>
  <c r="N29" i="4" l="1"/>
  <c r="Q29" s="1"/>
  <c r="L35" i="3"/>
  <c r="M35"/>
  <c r="J35"/>
  <c r="K35"/>
  <c r="O29" i="4"/>
  <c r="R29" s="1"/>
  <c r="L30"/>
  <c r="F30"/>
  <c r="K30"/>
  <c r="M30"/>
  <c r="J30"/>
  <c r="H30"/>
  <c r="E31"/>
  <c r="C32"/>
  <c r="D32" s="1"/>
  <c r="C37" i="3"/>
  <c r="D37" s="1"/>
  <c r="E36"/>
  <c r="O34"/>
  <c r="R34" s="1"/>
  <c r="F35"/>
  <c r="H35"/>
  <c r="N34"/>
  <c r="Q34" s="1"/>
  <c r="N30" i="4" l="1"/>
  <c r="Q30" s="1"/>
  <c r="M36" i="3"/>
  <c r="L36"/>
  <c r="J36"/>
  <c r="K36"/>
  <c r="O30" i="4"/>
  <c r="R30" s="1"/>
  <c r="F31"/>
  <c r="K31"/>
  <c r="M31"/>
  <c r="J31"/>
  <c r="H31"/>
  <c r="L31"/>
  <c r="C33"/>
  <c r="D33" s="1"/>
  <c r="E32"/>
  <c r="E37" i="3"/>
  <c r="C38"/>
  <c r="D38" s="1"/>
  <c r="O35"/>
  <c r="R35" s="1"/>
  <c r="H36"/>
  <c r="F36"/>
  <c r="N35"/>
  <c r="Q35" s="1"/>
  <c r="N31" i="4" l="1"/>
  <c r="Q31" s="1"/>
  <c r="L37" i="3"/>
  <c r="M37"/>
  <c r="K37"/>
  <c r="J37"/>
  <c r="O31" i="4"/>
  <c r="R31" s="1"/>
  <c r="K32"/>
  <c r="M32"/>
  <c r="J32"/>
  <c r="L32"/>
  <c r="H32"/>
  <c r="F32"/>
  <c r="O36" i="3"/>
  <c r="R36" s="1"/>
  <c r="N36"/>
  <c r="Q36" s="1"/>
  <c r="E33" i="4"/>
  <c r="C34"/>
  <c r="D34" s="1"/>
  <c r="F37" i="3"/>
  <c r="H37"/>
  <c r="C39"/>
  <c r="D39" s="1"/>
  <c r="E38"/>
  <c r="N32" i="4" l="1"/>
  <c r="Q32" s="1"/>
  <c r="L38" i="3"/>
  <c r="M38"/>
  <c r="J38"/>
  <c r="K38"/>
  <c r="O32" i="4"/>
  <c r="R32" s="1"/>
  <c r="M33"/>
  <c r="J33"/>
  <c r="L33"/>
  <c r="H33"/>
  <c r="K33"/>
  <c r="F33"/>
  <c r="C35"/>
  <c r="D35" s="1"/>
  <c r="E34"/>
  <c r="E39" i="3"/>
  <c r="C40"/>
  <c r="D40" s="1"/>
  <c r="N37"/>
  <c r="Q37" s="1"/>
  <c r="O37"/>
  <c r="R37" s="1"/>
  <c r="F38"/>
  <c r="H38"/>
  <c r="N33" i="4" l="1"/>
  <c r="Q33" s="1"/>
  <c r="L39" i="3"/>
  <c r="M39"/>
  <c r="J39"/>
  <c r="K39"/>
  <c r="O33" i="4"/>
  <c r="R33" s="1"/>
  <c r="L34"/>
  <c r="H34"/>
  <c r="K34"/>
  <c r="M34"/>
  <c r="J34"/>
  <c r="F34"/>
  <c r="O38" i="3"/>
  <c r="R38" s="1"/>
  <c r="E35" i="4"/>
  <c r="C36"/>
  <c r="D36" s="1"/>
  <c r="H39" i="3"/>
  <c r="F39"/>
  <c r="N38"/>
  <c r="Q38" s="1"/>
  <c r="C41"/>
  <c r="D41" s="1"/>
  <c r="E40"/>
  <c r="N34" i="4" l="1"/>
  <c r="Q34" s="1"/>
  <c r="M40" i="3"/>
  <c r="L40"/>
  <c r="J40"/>
  <c r="K40"/>
  <c r="O34" i="4"/>
  <c r="R34" s="1"/>
  <c r="K35"/>
  <c r="M35"/>
  <c r="J35"/>
  <c r="F35"/>
  <c r="L35"/>
  <c r="H35"/>
  <c r="C37"/>
  <c r="D37" s="1"/>
  <c r="E36"/>
  <c r="E41" i="3"/>
  <c r="C42"/>
  <c r="D42" s="1"/>
  <c r="F40"/>
  <c r="H40"/>
  <c r="O39"/>
  <c r="R39" s="1"/>
  <c r="N39"/>
  <c r="Q39" s="1"/>
  <c r="N35" i="4" l="1"/>
  <c r="Q35" s="1"/>
  <c r="L41" i="3"/>
  <c r="M41"/>
  <c r="K41"/>
  <c r="J41"/>
  <c r="K36" i="4"/>
  <c r="M36"/>
  <c r="J36"/>
  <c r="H36"/>
  <c r="L36"/>
  <c r="F36"/>
  <c r="O35"/>
  <c r="R35" s="1"/>
  <c r="O40" i="3"/>
  <c r="R40" s="1"/>
  <c r="E37" i="4"/>
  <c r="C38"/>
  <c r="D38" s="1"/>
  <c r="N40" i="3"/>
  <c r="Q40" s="1"/>
  <c r="F41"/>
  <c r="H41"/>
  <c r="C43"/>
  <c r="D43" s="1"/>
  <c r="E42"/>
  <c r="N36" i="4" l="1"/>
  <c r="Q36" s="1"/>
  <c r="L42" i="3"/>
  <c r="M42"/>
  <c r="J42"/>
  <c r="K42"/>
  <c r="M37" i="4"/>
  <c r="J37"/>
  <c r="H37"/>
  <c r="L37"/>
  <c r="F37"/>
  <c r="K37"/>
  <c r="O36"/>
  <c r="R36" s="1"/>
  <c r="O41" i="3"/>
  <c r="R41" s="1"/>
  <c r="C39" i="4"/>
  <c r="D39" s="1"/>
  <c r="E38"/>
  <c r="N41" i="3"/>
  <c r="Q41" s="1"/>
  <c r="C44"/>
  <c r="D44" s="1"/>
  <c r="E43"/>
  <c r="H42"/>
  <c r="F42"/>
  <c r="N37" i="4" l="1"/>
  <c r="Q37" s="1"/>
  <c r="L43" i="3"/>
  <c r="M43"/>
  <c r="J43"/>
  <c r="K43"/>
  <c r="O37" i="4"/>
  <c r="R37" s="1"/>
  <c r="L38"/>
  <c r="H38"/>
  <c r="K38"/>
  <c r="M38"/>
  <c r="J38"/>
  <c r="F38"/>
  <c r="O42" i="3"/>
  <c r="R42" s="1"/>
  <c r="E39" i="4"/>
  <c r="C40"/>
  <c r="D40" s="1"/>
  <c r="F43" i="3"/>
  <c r="H43"/>
  <c r="E44"/>
  <c r="C45"/>
  <c r="D45" s="1"/>
  <c r="N42"/>
  <c r="Q42" s="1"/>
  <c r="N38" i="4" l="1"/>
  <c r="Q38" s="1"/>
  <c r="M44" i="3"/>
  <c r="L44"/>
  <c r="J44"/>
  <c r="K44"/>
  <c r="O38" i="4"/>
  <c r="R38" s="1"/>
  <c r="K39"/>
  <c r="F39"/>
  <c r="M39"/>
  <c r="J39"/>
  <c r="L39"/>
  <c r="H39"/>
  <c r="C41"/>
  <c r="D41" s="1"/>
  <c r="E40"/>
  <c r="N43" i="3"/>
  <c r="Q43" s="1"/>
  <c r="E45"/>
  <c r="C46"/>
  <c r="D46" s="1"/>
  <c r="O43"/>
  <c r="R43" s="1"/>
  <c r="H44"/>
  <c r="F44"/>
  <c r="N39" i="4" l="1"/>
  <c r="Q39" s="1"/>
  <c r="L45" i="3"/>
  <c r="M45"/>
  <c r="K45"/>
  <c r="J45"/>
  <c r="K40" i="4"/>
  <c r="H40"/>
  <c r="M40"/>
  <c r="J40"/>
  <c r="L40"/>
  <c r="F40"/>
  <c r="O39"/>
  <c r="R39" s="1"/>
  <c r="O44" i="3"/>
  <c r="R44" s="1"/>
  <c r="E41" i="4"/>
  <c r="C42"/>
  <c r="D42" s="1"/>
  <c r="F45" i="3"/>
  <c r="H45"/>
  <c r="C47"/>
  <c r="D47" s="1"/>
  <c r="E46"/>
  <c r="N44"/>
  <c r="Q44" s="1"/>
  <c r="N40" i="4" l="1"/>
  <c r="Q40" s="1"/>
  <c r="L46" i="3"/>
  <c r="M46"/>
  <c r="J46"/>
  <c r="K46"/>
  <c r="M41" i="4"/>
  <c r="J41"/>
  <c r="L41"/>
  <c r="F41"/>
  <c r="K41"/>
  <c r="H41"/>
  <c r="O40"/>
  <c r="R40" s="1"/>
  <c r="C43"/>
  <c r="D43" s="1"/>
  <c r="E42"/>
  <c r="N45" i="3"/>
  <c r="Q45" s="1"/>
  <c r="C48"/>
  <c r="E47"/>
  <c r="F46"/>
  <c r="H46"/>
  <c r="O45"/>
  <c r="R45" s="1"/>
  <c r="O41" i="4" l="1"/>
  <c r="R41" s="1"/>
  <c r="N41"/>
  <c r="Q41" s="1"/>
  <c r="L47" i="3"/>
  <c r="M47"/>
  <c r="J47"/>
  <c r="K47"/>
  <c r="L42" i="4"/>
  <c r="F42"/>
  <c r="K42"/>
  <c r="M42"/>
  <c r="J42"/>
  <c r="H42"/>
  <c r="D48" i="3"/>
  <c r="E48" s="1"/>
  <c r="O46"/>
  <c r="R46" s="1"/>
  <c r="N46"/>
  <c r="Q46" s="1"/>
  <c r="E43" i="4"/>
  <c r="C44"/>
  <c r="D44" s="1"/>
  <c r="H47" i="3"/>
  <c r="F47"/>
  <c r="N42" i="4" l="1"/>
  <c r="Q42" s="1"/>
  <c r="M48" i="3"/>
  <c r="L48"/>
  <c r="J48"/>
  <c r="K48"/>
  <c r="O42" i="4"/>
  <c r="R42" s="1"/>
  <c r="K43"/>
  <c r="H43"/>
  <c r="M43"/>
  <c r="J43"/>
  <c r="L43"/>
  <c r="F43"/>
  <c r="H48" i="3"/>
  <c r="F48"/>
  <c r="C45" i="4"/>
  <c r="D45" s="1"/>
  <c r="E44"/>
  <c r="O47" i="3"/>
  <c r="R47" s="1"/>
  <c r="N47"/>
  <c r="Q47" s="1"/>
  <c r="O48" l="1"/>
  <c r="R48" s="1"/>
  <c r="N48"/>
  <c r="Q48" s="1"/>
  <c r="N43" i="4"/>
  <c r="Q43" s="1"/>
  <c r="K44"/>
  <c r="M44"/>
  <c r="J44"/>
  <c r="F44"/>
  <c r="L44"/>
  <c r="H44"/>
  <c r="O43"/>
  <c r="R43" s="1"/>
  <c r="E45"/>
  <c r="C46"/>
  <c r="D46" s="1"/>
  <c r="N44" l="1"/>
  <c r="Q44" s="1"/>
  <c r="M45"/>
  <c r="J45"/>
  <c r="F45"/>
  <c r="L45"/>
  <c r="H45"/>
  <c r="K45"/>
  <c r="O44"/>
  <c r="R44" s="1"/>
  <c r="C47"/>
  <c r="D47" s="1"/>
  <c r="E46"/>
  <c r="N45" l="1"/>
  <c r="Q45" s="1"/>
  <c r="L46"/>
  <c r="F46"/>
  <c r="K46"/>
  <c r="M46"/>
  <c r="J46"/>
  <c r="H46"/>
  <c r="O45"/>
  <c r="R45" s="1"/>
  <c r="E47"/>
  <c r="C48"/>
  <c r="N46" l="1"/>
  <c r="Q46" s="1"/>
  <c r="O46"/>
  <c r="R46" s="1"/>
  <c r="K47"/>
  <c r="H47"/>
  <c r="M47"/>
  <c r="J47"/>
  <c r="L47"/>
  <c r="F47"/>
  <c r="D48"/>
  <c r="E48" s="1"/>
  <c r="N47" l="1"/>
  <c r="Q47" s="1"/>
  <c r="O47"/>
  <c r="R47" s="1"/>
  <c r="K48"/>
  <c r="F48"/>
  <c r="M48"/>
  <c r="J48"/>
  <c r="H48"/>
  <c r="L48"/>
  <c r="N48" l="1"/>
  <c r="Q48" s="1"/>
  <c r="O48"/>
  <c r="R48" s="1"/>
</calcChain>
</file>

<file path=xl/sharedStrings.xml><?xml version="1.0" encoding="utf-8"?>
<sst xmlns="http://schemas.openxmlformats.org/spreadsheetml/2006/main" count="567" uniqueCount="382">
  <si>
    <t>Para</t>
  </si>
  <si>
    <t>Min</t>
  </si>
  <si>
    <t>Typ</t>
  </si>
  <si>
    <t>Max</t>
  </si>
  <si>
    <t>Unit</t>
  </si>
  <si>
    <t>Vac</t>
  </si>
  <si>
    <t>Hz</t>
  </si>
  <si>
    <t>Efficency</t>
  </si>
  <si>
    <t>W</t>
  </si>
  <si>
    <t>ms</t>
  </si>
  <si>
    <t>%</t>
  </si>
  <si>
    <r>
      <t>V</t>
    </r>
    <r>
      <rPr>
        <sz val="8"/>
        <color theme="1"/>
        <rFont val="Calibri"/>
        <family val="2"/>
        <scheme val="minor"/>
      </rPr>
      <t>LINE</t>
    </r>
  </si>
  <si>
    <r>
      <t>F</t>
    </r>
    <r>
      <rPr>
        <sz val="8"/>
        <color theme="1"/>
        <rFont val="Calibri"/>
        <family val="2"/>
        <scheme val="minor"/>
      </rPr>
      <t>LINE</t>
    </r>
  </si>
  <si>
    <r>
      <t>P</t>
    </r>
    <r>
      <rPr>
        <sz val="8"/>
        <color theme="1"/>
        <rFont val="Calibri"/>
        <family val="2"/>
        <scheme val="minor"/>
      </rPr>
      <t>OMAX</t>
    </r>
  </si>
  <si>
    <r>
      <t>T</t>
    </r>
    <r>
      <rPr>
        <sz val="8"/>
        <color theme="1"/>
        <rFont val="Calibri"/>
        <family val="2"/>
        <scheme val="minor"/>
      </rPr>
      <t>HOLD</t>
    </r>
  </si>
  <si>
    <r>
      <t>I</t>
    </r>
    <r>
      <rPr>
        <sz val="8"/>
        <color theme="1"/>
        <rFont val="Calibri"/>
        <family val="2"/>
        <scheme val="minor"/>
      </rPr>
      <t>INMAX=</t>
    </r>
  </si>
  <si>
    <t>(A)</t>
  </si>
  <si>
    <t>(EQ.7)</t>
  </si>
  <si>
    <r>
      <t>L</t>
    </r>
    <r>
      <rPr>
        <sz val="8"/>
        <color theme="1"/>
        <rFont val="Calibri"/>
        <family val="2"/>
        <scheme val="minor"/>
      </rPr>
      <t>BST</t>
    </r>
    <r>
      <rPr>
        <sz val="11"/>
        <color theme="1"/>
        <rFont val="Calibri"/>
        <family val="2"/>
        <charset val="134"/>
        <scheme val="minor"/>
      </rPr>
      <t xml:space="preserve"> &gt;=</t>
    </r>
  </si>
  <si>
    <r>
      <t>V</t>
    </r>
    <r>
      <rPr>
        <sz val="8"/>
        <color theme="1"/>
        <rFont val="Calibri"/>
        <family val="2"/>
        <scheme val="minor"/>
      </rPr>
      <t>OUT</t>
    </r>
  </si>
  <si>
    <t>V</t>
  </si>
  <si>
    <t>kHz</t>
  </si>
  <si>
    <t>(EQ.9)</t>
  </si>
  <si>
    <t>(EQ.11)</t>
  </si>
  <si>
    <t>Boost Inductor Selection</t>
  </si>
  <si>
    <t>Input Rectifier</t>
  </si>
  <si>
    <t>round to</t>
  </si>
  <si>
    <t>(EQ.13)</t>
  </si>
  <si>
    <t>(V)</t>
  </si>
  <si>
    <t>(W)</t>
  </si>
  <si>
    <t>(EQ.15)</t>
  </si>
  <si>
    <t>INPUT CAPACITOR SELECTION</t>
  </si>
  <si>
    <t>(EQ.17)</t>
  </si>
  <si>
    <t xml:space="preserve">round to </t>
  </si>
  <si>
    <t>BOOST DIODE SELECTION</t>
  </si>
  <si>
    <t>(EQ.18)</t>
  </si>
  <si>
    <t>The boost diode loss is determined by the diode forward voltage  drop, VF</t>
  </si>
  <si>
    <t>(nC)</t>
  </si>
  <si>
    <t>The QRR is found from the diode datasheet</t>
  </si>
  <si>
    <t>Fsw</t>
  </si>
  <si>
    <t>(EQ.24)</t>
  </si>
  <si>
    <t>(EQ.22)</t>
  </si>
  <si>
    <t>(EQ.20)</t>
  </si>
  <si>
    <t>MOSFET POWER DISSIPATION</t>
  </si>
  <si>
    <t>(EQ.25)</t>
  </si>
  <si>
    <t>(EQ.27)</t>
  </si>
  <si>
    <t>(mJ)</t>
  </si>
  <si>
    <t>When RG = 3.6Ω, ID = 6A, look up the datasheet of MOSFETL, GOT EON = 0.015mJ, EOFF = 0.007mJ</t>
  </si>
  <si>
    <t>(EQ.29)</t>
  </si>
  <si>
    <t>From the Typical  Reverse Recovery Charge curve at TJ = +125°C, the  QRR = 220nC when IF = 3.5A.</t>
  </si>
  <si>
    <t>(EQ.31)</t>
  </si>
  <si>
    <t>THE TOTAL LOSS ON THE MOSFET</t>
  </si>
  <si>
    <t>(EQ.33)</t>
  </si>
  <si>
    <t>Vf=</t>
  </si>
  <si>
    <t>Pfd=</t>
  </si>
  <si>
    <t>Qrr=</t>
  </si>
  <si>
    <t>Prrd=</t>
  </si>
  <si>
    <t>Pd=</t>
  </si>
  <si>
    <t>Ids_max=</t>
  </si>
  <si>
    <t>Rds_on=</t>
  </si>
  <si>
    <t>Pcond=</t>
  </si>
  <si>
    <t>Eon=</t>
  </si>
  <si>
    <t>Psw=</t>
  </si>
  <si>
    <t>Qrr_=</t>
  </si>
  <si>
    <t>Prr=</t>
  </si>
  <si>
    <t>Pond+Psw+Prr=</t>
  </si>
  <si>
    <t>Cf1=</t>
  </si>
  <si>
    <t>Kc=</t>
  </si>
  <si>
    <t>Pbr=</t>
  </si>
  <si>
    <t>Vfbr=</t>
  </si>
  <si>
    <t>Iinave_max=</t>
  </si>
  <si>
    <t>ILPeak=</t>
  </si>
  <si>
    <t>OUTPUT CAPACITOR SELECTION</t>
  </si>
  <si>
    <t>Vhold=</t>
  </si>
  <si>
    <t>Cout &gt;=</t>
  </si>
  <si>
    <t>(EQ.34)</t>
  </si>
  <si>
    <t xml:space="preserve">round </t>
  </si>
  <si>
    <t>ESR=</t>
  </si>
  <si>
    <t>Vopp=</t>
  </si>
  <si>
    <t>CURRENT SENSING RESISTORS</t>
  </si>
  <si>
    <t>Rcs &gt;=</t>
  </si>
  <si>
    <t>(EQ.42)</t>
  </si>
  <si>
    <t>(EQ.40)</t>
  </si>
  <si>
    <t>(EQ.38)</t>
  </si>
  <si>
    <t>(EQ.36)</t>
  </si>
  <si>
    <t>Rsen  &gt;=</t>
  </si>
  <si>
    <t>Ioc=</t>
  </si>
  <si>
    <t>(uA)</t>
  </si>
  <si>
    <t>(EQ.44)</t>
  </si>
  <si>
    <t>CURRENT LOOP COMPENSATION</t>
  </si>
  <si>
    <t>(kHz)</t>
  </si>
  <si>
    <t>(deg)</t>
  </si>
  <si>
    <t>Cip+Cic=</t>
  </si>
  <si>
    <t>(EQ.49)</t>
  </si>
  <si>
    <t>Fsw/6</t>
  </si>
  <si>
    <t>Fsw/2</t>
  </si>
  <si>
    <t>(nF)</t>
  </si>
  <si>
    <t>Cip=</t>
  </si>
  <si>
    <t>(EQ.51)</t>
  </si>
  <si>
    <t>(EQ.53)</t>
  </si>
  <si>
    <t>Cic=</t>
  </si>
  <si>
    <t>(EQ.55)</t>
  </si>
  <si>
    <t>Ric=</t>
  </si>
  <si>
    <t>(EQ.46)</t>
  </si>
  <si>
    <t>(kΩ)</t>
  </si>
  <si>
    <t>(Ω)</t>
  </si>
  <si>
    <t>INPUT VOLTAGE SETTING</t>
  </si>
  <si>
    <t>Kbo</t>
  </si>
  <si>
    <t>Rin1</t>
  </si>
  <si>
    <t>Rin2</t>
  </si>
  <si>
    <t xml:space="preserve">choose </t>
  </si>
  <si>
    <t>recalculate the Kbo=</t>
  </si>
  <si>
    <t>(EQ.57)</t>
  </si>
  <si>
    <t>(EQ.58)</t>
  </si>
  <si>
    <t>(EQ.59)</t>
  </si>
  <si>
    <t>NEGATIVE INPUT CAPACITOR GENERATION</t>
  </si>
  <si>
    <t>Cneg=</t>
  </si>
  <si>
    <t>(EQ.60)</t>
  </si>
  <si>
    <t>For eg.</t>
  </si>
  <si>
    <t>Cin=</t>
  </si>
  <si>
    <t>Vline=</t>
  </si>
  <si>
    <t>Po=</t>
  </si>
  <si>
    <t>Ic=</t>
  </si>
  <si>
    <t>Ia=</t>
  </si>
  <si>
    <t>(EQ.62)</t>
  </si>
  <si>
    <t>Icneg=</t>
  </si>
  <si>
    <t>(EQ.63)</t>
  </si>
  <si>
    <t>(EQ.65)</t>
  </si>
  <si>
    <t>(EQ.64)</t>
  </si>
  <si>
    <t>Ic-Icneg=</t>
  </si>
  <si>
    <t>(EQ.66)</t>
  </si>
  <si>
    <t>Pfdis=</t>
  </si>
  <si>
    <t>(EQ.67)</t>
  </si>
  <si>
    <t>VOLTAGE LOOP COMPENSATION</t>
  </si>
  <si>
    <t>Eff</t>
  </si>
  <si>
    <t>Kd=</t>
  </si>
  <si>
    <t>Ris=</t>
  </si>
  <si>
    <t>Gmi=</t>
  </si>
  <si>
    <t>Kav=</t>
  </si>
  <si>
    <t>(S)</t>
  </si>
  <si>
    <t>(EQ.69)</t>
  </si>
  <si>
    <t>Vref=</t>
  </si>
  <si>
    <t>Gdiv=</t>
  </si>
  <si>
    <t>(EQ.74)</t>
  </si>
  <si>
    <t>Fcv=</t>
  </si>
  <si>
    <t>Fpv=</t>
  </si>
  <si>
    <t>Fzv=</t>
  </si>
  <si>
    <t>(Hz)</t>
  </si>
  <si>
    <t>(EQ.76)</t>
  </si>
  <si>
    <t>Gps=</t>
  </si>
  <si>
    <t>Cvc+Cvp=</t>
  </si>
  <si>
    <t>(EQ.72)</t>
  </si>
  <si>
    <t>(EQ.78)</t>
  </si>
  <si>
    <t>Cvp=</t>
  </si>
  <si>
    <t>(EQ.80)</t>
  </si>
  <si>
    <t>Cvc=</t>
  </si>
  <si>
    <t>(EQ.81)</t>
  </si>
  <si>
    <t>Rvc=</t>
  </si>
  <si>
    <t>(EQ.82)</t>
  </si>
  <si>
    <t>Aidc=</t>
  </si>
  <si>
    <t>Vm=</t>
  </si>
  <si>
    <t>Fz=</t>
  </si>
  <si>
    <t>PMC=</t>
  </si>
  <si>
    <t>Fp=</t>
  </si>
  <si>
    <t>Fc=</t>
  </si>
  <si>
    <t>Prcsmax=</t>
  </si>
  <si>
    <t>Icorms_max=</t>
  </si>
  <si>
    <t>Iout_max=</t>
  </si>
  <si>
    <t>PI=</t>
  </si>
  <si>
    <t>(const)</t>
  </si>
  <si>
    <t>Gmv=</t>
  </si>
  <si>
    <t>Phase Margin:</t>
  </si>
  <si>
    <t>Gmi_min:</t>
  </si>
  <si>
    <t>Roff=</t>
  </si>
  <si>
    <t>TABLE 3. CONVERTER DESIGN PARAMETERS</t>
  </si>
  <si>
    <t>Open-loop performance analysis</t>
  </si>
  <si>
    <t>Highest frequency 4 analysis</t>
  </si>
  <si>
    <t>Fe</t>
  </si>
  <si>
    <t>Lowest frequency 4 analysis</t>
  </si>
  <si>
    <t>Fb</t>
  </si>
  <si>
    <t xml:space="preserve">Points to be analyzed </t>
  </si>
  <si>
    <t>N</t>
  </si>
  <si>
    <t>Df</t>
  </si>
  <si>
    <t>log(f）</t>
  </si>
  <si>
    <t>delta f</t>
  </si>
  <si>
    <t>Gain 
(dB)</t>
  </si>
  <si>
    <t>Phase
 (deg)</t>
  </si>
  <si>
    <t>Gps(s)</t>
  </si>
  <si>
    <t>Gvloop(s)</t>
  </si>
  <si>
    <t>1/(Cvc+Cvp)s</t>
  </si>
  <si>
    <t>Zcomp(s), (EQ.75)</t>
  </si>
  <si>
    <t>Zcomp(s)*Gmv</t>
  </si>
  <si>
    <t>Freq 
(Hz)</t>
  </si>
  <si>
    <t>Freq
(Hz)</t>
  </si>
  <si>
    <t>Gdiv</t>
  </si>
  <si>
    <t>(dB)</t>
  </si>
  <si>
    <t>Gid(s)</t>
  </si>
  <si>
    <t>Zicomp(s)</t>
  </si>
  <si>
    <t>1/(Cic+Cip)s</t>
  </si>
  <si>
    <t>1+s/Wz</t>
  </si>
  <si>
    <t>1/(1+s/Wp)</t>
  </si>
  <si>
    <t>Giloop(s)</t>
  </si>
  <si>
    <t>recalculate</t>
  </si>
  <si>
    <t>Fpv</t>
  </si>
  <si>
    <t>Fzv</t>
  </si>
  <si>
    <t xml:space="preserve"> (Hz)</t>
  </si>
  <si>
    <t xml:space="preserve"> (kHz)</t>
  </si>
  <si>
    <t>Fz</t>
  </si>
  <si>
    <t>Fp</t>
  </si>
  <si>
    <t>Bode Plot of voltage loop: WorkSheet "BodePlot_vLoop"</t>
  </si>
  <si>
    <t>Bode Plot of current loop: WorkSheet "BodePlot_iLoop"</t>
  </si>
  <si>
    <t>1+s/Wzv</t>
  </si>
  <si>
    <t>Zicomp(s)*Gmi</t>
  </si>
  <si>
    <t>Gi*Gm</t>
  </si>
  <si>
    <t>Current Gain(I sensing) and Modulation Gain(PWM): Gi*Gm=(Rcs/Rsen)*0.5*Ris/Vm</t>
  </si>
  <si>
    <t>1/(1+S/Wpv)</t>
  </si>
  <si>
    <t>EQ.71,73,75</t>
  </si>
  <si>
    <t xml:space="preserve">Note: the different betweet this SpreadSheet and DataSheet:
1) for the phase of D.S., adds 180deg (Fig.17);  
2) in D.S., the plot is "asymptotic" in Fig.16, and the plot is "Actual" in Fig.17. </t>
  </si>
  <si>
    <t xml:space="preserve">Note: the different betweet this SpreadSheet and DataSheet:
1) for the phase of D.S., adds 180deg(Fig.20);  
2) in D.S., the plot is "asymptotic" in Fig.19,  and the plot is "Actual" in Fig.20. </t>
  </si>
  <si>
    <t>PARAMETER</t>
  </si>
  <si>
    <t>SYMBOL</t>
  </si>
  <si>
    <t>TEST CONDITIONS</t>
  </si>
  <si>
    <t>MIN</t>
  </si>
  <si>
    <t>TYP</t>
  </si>
  <si>
    <t>MAX</t>
  </si>
  <si>
    <t>UNITS</t>
  </si>
  <si>
    <t>VCC SUPPLY CURRENT</t>
  </si>
  <si>
    <t xml:space="preserve">Start Up Current </t>
  </si>
  <si>
    <t>ISTART</t>
  </si>
  <si>
    <t>VFB = 1V, VCC &lt; VCC(ON)</t>
  </si>
  <si>
    <t>µA</t>
  </si>
  <si>
    <t xml:space="preserve">Standby Current </t>
  </si>
  <si>
    <t>ISTDN</t>
  </si>
  <si>
    <t>VFB = GND, VCC &gt; VCC(ON)</t>
  </si>
  <si>
    <t>Skip Mode Current</t>
  </si>
  <si>
    <t>ICCSKIP</t>
  </si>
  <si>
    <t>VFB = 2.5V, COMP = SKIP*0.25 +1V</t>
  </si>
  <si>
    <t>-</t>
  </si>
  <si>
    <t>Operating Current (Note 6)</t>
  </si>
  <si>
    <t>ICC</t>
  </si>
  <si>
    <t>GATE is floating</t>
  </si>
  <si>
    <t>mA</t>
  </si>
  <si>
    <t>VCC UVLO</t>
  </si>
  <si>
    <t>UVLO Rising Threshold</t>
  </si>
  <si>
    <t>VCC(ON)</t>
  </si>
  <si>
    <t>UVLO Falling Threshold</t>
  </si>
  <si>
    <t>VCC(OFF)</t>
  </si>
  <si>
    <t>UVLO Threshold Hysteresis</t>
  </si>
  <si>
    <t>VCC(HYS)</t>
  </si>
  <si>
    <t>REGULATOR VOLTAGE VREG</t>
  </si>
  <si>
    <t xml:space="preserve">Overall Accuracy </t>
  </si>
  <si>
    <t>IREF = 0 to -10mA, VCC = 15V, Load Capacitor = 47nF</t>
  </si>
  <si>
    <t>Current Limit</t>
  </si>
  <si>
    <t>PWM CONVERTERS</t>
  </si>
  <si>
    <t>Maximum Duty Cycle</t>
  </si>
  <si>
    <t>fSW = 124kHz for ISL6730A/C and
fSW = 62kHz for ISL6730B/D</t>
  </si>
  <si>
    <t>OSCILLATOR</t>
  </si>
  <si>
    <t>Free Running Frequency, ISL6730A/C</t>
  </si>
  <si>
    <t>TA = -40°C to +125°C, VIN = 0.6V</t>
  </si>
  <si>
    <t>TA = -40°C to +125°C, VIN = 2.5V</t>
  </si>
  <si>
    <t>Free Running Frequency, ISL6730B/D</t>
  </si>
  <si>
    <t>PWM Ramp Amplitude</t>
  </si>
  <si>
    <t>Vm</t>
  </si>
  <si>
    <t>GATE DRIVER</t>
  </si>
  <si>
    <t>Gate Drive Pull-Down Resistance</t>
  </si>
  <si>
    <t>VCC = 15V, IGATE = 15mA</t>
  </si>
  <si>
    <t>Ω</t>
  </si>
  <si>
    <t>Gate Drive Pull-Up Voltage Drop</t>
  </si>
  <si>
    <t>VCC = 9V, IGATE = 15mA</t>
  </si>
  <si>
    <t>Gate Drive Max. Sourcing/Sinking Current</t>
  </si>
  <si>
    <t>A</t>
  </si>
  <si>
    <t>Rise Time</t>
  </si>
  <si>
    <t>CO = 2.2nF, VCC = 15V, Gate Voltage Rise Time from 10% to 90% of VGC</t>
  </si>
  <si>
    <t>ns</t>
  </si>
  <si>
    <t>Fall Time</t>
  </si>
  <si>
    <t>CO = 2.2nF, VCC = 15V, Gate Voltage Fall Time from 10% to 90% of VGC</t>
  </si>
  <si>
    <t>Gate Clamp Voltage</t>
  </si>
  <si>
    <t>VGC</t>
  </si>
  <si>
    <t xml:space="preserve">VOLTAGE REFERENCE </t>
  </si>
  <si>
    <t>Reference Voltage</t>
  </si>
  <si>
    <t>VREF</t>
  </si>
  <si>
    <t>Feedback Pin Pull-Down Current</t>
  </si>
  <si>
    <t>IFB</t>
  </si>
  <si>
    <t>nA</t>
  </si>
  <si>
    <t>Rising Threshold to Enable Converter</t>
  </si>
  <si>
    <t>FB_EN</t>
  </si>
  <si>
    <t>mV</t>
  </si>
  <si>
    <t>Falling Threshold to Disable Converter</t>
  </si>
  <si>
    <t>FB_DIS</t>
  </si>
  <si>
    <t>Enable Hysteresis</t>
  </si>
  <si>
    <t>FB_Hys</t>
  </si>
  <si>
    <t>VOLTAGE ERROR AMPLIFIER</t>
  </si>
  <si>
    <t>DC Gain</t>
  </si>
  <si>
    <t>dB</t>
  </si>
  <si>
    <t>Error Amp Transconductance</t>
  </si>
  <si>
    <t>Gmv</t>
  </si>
  <si>
    <t>µA/V</t>
  </si>
  <si>
    <t>ISource/Sink</t>
  </si>
  <si>
    <t>COMP Offset Voltage</t>
  </si>
  <si>
    <t>VCOMP_OFF</t>
  </si>
  <si>
    <t>COMP Soft-Start Enable Voltage</t>
  </si>
  <si>
    <t>VCOMP_EN</t>
  </si>
  <si>
    <t>INPUT VOLTAGE SENSING</t>
  </si>
  <si>
    <t>VIN Leakage Current</t>
  </si>
  <si>
    <t>MULTIPLIER GAIN</t>
  </si>
  <si>
    <t>GMUL</t>
  </si>
  <si>
    <t>COMP = 2.5V, VIN = 1.0V, BO = 1.0V, ISEN = 50µA</t>
  </si>
  <si>
    <t>V/V</t>
  </si>
  <si>
    <t>CURRENT ERROR AMPLIFIER</t>
  </si>
  <si>
    <t>Current DC Gain</t>
  </si>
  <si>
    <t>AiDC</t>
  </si>
  <si>
    <t>DIICOMP/DIISEN</t>
  </si>
  <si>
    <t>A/A</t>
  </si>
  <si>
    <t>Gmi</t>
  </si>
  <si>
    <t>IICOMP = ±20µA</t>
  </si>
  <si>
    <t>ICOMP Source/Sink Current (Note 7)</t>
  </si>
  <si>
    <t xml:space="preserve">Current Sensing Input Offset </t>
  </si>
  <si>
    <t>LIGHT LOAD EFFICIENCY ENHANCEMENT AND OVERPOWER PROTECTION</t>
  </si>
  <si>
    <t xml:space="preserve">Skip Mode COMP Threshold </t>
  </si>
  <si>
    <t>VSCMT</t>
  </si>
  <si>
    <t>COMP Upper Limit</t>
  </si>
  <si>
    <t>VCUL</t>
  </si>
  <si>
    <t>COMP Valid Range</t>
  </si>
  <si>
    <t>VCUL-1V</t>
  </si>
  <si>
    <t>FB Exit Threshold Voltage</t>
  </si>
  <si>
    <t>VFB_EXIT</t>
  </si>
  <si>
    <t xml:space="preserve"> Fraction of the set point (VREF), IISEN = 0µA</t>
  </si>
  <si>
    <t>ISEN Exit Threshold Current</t>
  </si>
  <si>
    <t>ISEN_EXIT</t>
  </si>
  <si>
    <t>VFB = 2.5V</t>
  </si>
  <si>
    <t>BROWNOUT DETECTION</t>
  </si>
  <si>
    <t>Brownout Rising Threshold</t>
  </si>
  <si>
    <t>VBO_R</t>
  </si>
  <si>
    <t>Brownout Falling Threshold</t>
  </si>
  <si>
    <t>VBO_F</t>
  </si>
  <si>
    <t>OVERVOLTAGE PROTECTION</t>
  </si>
  <si>
    <t>Overvoltage Protection</t>
  </si>
  <si>
    <t>VOVP</t>
  </si>
  <si>
    <t xml:space="preserve"> Fraction of the set point (VREF); ~1µs noise filter</t>
  </si>
  <si>
    <t>OVERCURRENT PROTECTION</t>
  </si>
  <si>
    <t>Overcurrent Threshold</t>
  </si>
  <si>
    <t>IOC</t>
  </si>
  <si>
    <t>THERMAL SHUTDOWN</t>
  </si>
  <si>
    <t>Shutdown Temperature (Note 7)</t>
  </si>
  <si>
    <t>°C</t>
  </si>
  <si>
    <t>Thermal Shutdown Hysteresis (Note 7)</t>
  </si>
  <si>
    <t>[6]This is the VCC current consumed when the device is active but not switching. Does not include gate drive current.</t>
  </si>
  <si>
    <t>[7]Limits should be considered typical and are not production tested.</t>
  </si>
  <si>
    <t xml:space="preserve">[8]Parameters with MIN and/or MAX limits are 100% tested at +25°C, unless otherwise specified. </t>
  </si>
  <si>
    <r>
      <t xml:space="preserve">Electrical Specifications     </t>
    </r>
    <r>
      <rPr>
        <b/>
        <sz val="12"/>
        <rFont val="Calibri"/>
        <family val="2"/>
        <scheme val="minor"/>
      </rPr>
      <t xml:space="preserve"> ISL6730A,ISL6730B,ISL6730C,ISL6730D</t>
    </r>
  </si>
  <si>
    <t>VERSION</t>
  </si>
  <si>
    <t>ISL6730A</t>
  </si>
  <si>
    <t>ISL6730B</t>
  </si>
  <si>
    <t>ISL6730C</t>
  </si>
  <si>
    <t>ISL6730D</t>
  </si>
  <si>
    <t>Switching Frequency</t>
  </si>
  <si>
    <t>124kHz</t>
  </si>
  <si>
    <t>62kHz</t>
  </si>
  <si>
    <t>Skip Mode</t>
  </si>
  <si>
    <t>Yes-Fixed</t>
  </si>
  <si>
    <t>No</t>
  </si>
  <si>
    <t>TABLE 1. KEY DIFFERENCES IN FAMILY OF ISL6730</t>
  </si>
  <si>
    <t>CF1</t>
  </si>
  <si>
    <t>Po &lt; 100W</t>
  </si>
  <si>
    <t>100W &lt; Po &lt; 500W</t>
  </si>
  <si>
    <t>Po &gt; 500W</t>
  </si>
  <si>
    <t>TABLE 2</t>
  </si>
  <si>
    <t>look up the table, Fc is about 8Hz,and the Phase Margin is about 180-120=60 (deg)</t>
  </si>
  <si>
    <t>look up the table, Fc is about 10.7kHz, ,and the Phase Margin is about 180-120=60 (deg)</t>
  </si>
  <si>
    <t>(µH)</t>
  </si>
  <si>
    <t xml:space="preserve">  (µF/100W)</t>
  </si>
  <si>
    <t>(µF)</t>
  </si>
  <si>
    <t>(µS)</t>
  </si>
  <si>
    <t>Specifications are from the datesheet published on August 2013. Datashhet specs may change, please refer to Intersil's website for PCN's related to this device and for the latest version of the datasheet.</t>
  </si>
  <si>
    <t>Notes</t>
  </si>
  <si>
    <t>Component Selection Guideline</t>
  </si>
  <si>
    <t>Diode forward voltage, VF,BR, across each rectifier diode</t>
  </si>
  <si>
    <t>See table 2 for reference</t>
  </si>
  <si>
    <t>Typical(µF)/100W</t>
  </si>
  <si>
    <t>conditions</t>
  </si>
  <si>
    <t>Instructions:
1) Enter design parameters into the yellow highlighted cells in table 3 and throughout the calculation sheet
2) Use the ISL6730 datasheet application section for naming conventions and explanation of variables
3) Throughout the calculation, component value selections can be entered to optimize the design. Those cells are highlighted in green
4) Calculated component values are displayed in bold red font</t>
  </si>
  <si>
    <t>Select the proper capacitor according to the hold time and ripple RMS current requirement.</t>
  </si>
</sst>
</file>

<file path=xl/styles.xml><?xml version="1.0" encoding="utf-8"?>
<styleSheet xmlns="http://schemas.openxmlformats.org/spreadsheetml/2006/main">
  <numFmts count="3">
    <numFmt numFmtId="164" formatCode="0.0"/>
    <numFmt numFmtId="165" formatCode="0.000"/>
    <numFmt numFmtId="166" formatCode="0.00000"/>
  </numFmts>
  <fonts count="30">
    <font>
      <sz val="11"/>
      <color theme="1"/>
      <name val="Calibri"/>
      <family val="2"/>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Calibri"/>
      <family val="2"/>
      <charset val="134"/>
      <scheme val="minor"/>
    </font>
    <font>
      <sz val="8"/>
      <color theme="1"/>
      <name val="Calibri"/>
      <family val="2"/>
      <scheme val="minor"/>
    </font>
    <font>
      <sz val="11"/>
      <color rgb="FFFF0000"/>
      <name val="Calibri"/>
      <family val="2"/>
      <charset val="134"/>
      <scheme val="minor"/>
    </font>
    <font>
      <sz val="11"/>
      <name val="Calibri"/>
      <family val="2"/>
      <charset val="134"/>
      <scheme val="minor"/>
    </font>
    <font>
      <sz val="10"/>
      <color indexed="20"/>
      <name val="Arial"/>
      <family val="2"/>
    </font>
    <font>
      <sz val="11"/>
      <color theme="0" tint="-0.249977111117893"/>
      <name val="Calibri"/>
      <family val="2"/>
      <charset val="134"/>
      <scheme val="minor"/>
    </font>
    <font>
      <sz val="10"/>
      <color indexed="20"/>
      <name val="Calibri"/>
      <family val="2"/>
      <scheme val="minor"/>
    </font>
    <font>
      <sz val="11"/>
      <color theme="0" tint="-0.249977111117893"/>
      <name val="Calibri"/>
      <family val="2"/>
      <scheme val="minor"/>
    </font>
    <font>
      <sz val="11"/>
      <name val="Calibri"/>
      <family val="2"/>
      <scheme val="minor"/>
    </font>
    <font>
      <sz val="8"/>
      <name val="Calibri"/>
      <family val="2"/>
      <scheme val="minor"/>
    </font>
    <font>
      <b/>
      <sz val="20"/>
      <name val="Calibri"/>
      <family val="2"/>
      <scheme val="minor"/>
    </font>
    <font>
      <sz val="20"/>
      <name val="Calibri"/>
      <family val="2"/>
      <scheme val="minor"/>
    </font>
    <font>
      <b/>
      <sz val="11"/>
      <name val="Calibri"/>
      <family val="2"/>
      <scheme val="minor"/>
    </font>
    <font>
      <b/>
      <sz val="8"/>
      <name val="Calibri"/>
      <family val="2"/>
      <scheme val="minor"/>
    </font>
    <font>
      <sz val="20"/>
      <name val="Calibri"/>
      <family val="2"/>
    </font>
    <font>
      <b/>
      <sz val="12"/>
      <name val="Calibri"/>
      <family val="2"/>
      <scheme val="minor"/>
    </font>
    <font>
      <sz val="11"/>
      <color rgb="FFFF0000"/>
      <name val="Calibri"/>
      <family val="2"/>
      <scheme val="minor"/>
    </font>
    <font>
      <sz val="8"/>
      <color rgb="FFFF0000"/>
      <name val="Calibri"/>
      <family val="2"/>
      <scheme val="minor"/>
    </font>
    <font>
      <b/>
      <sz val="12"/>
      <color theme="1"/>
      <name val="Calibri"/>
      <family val="2"/>
      <scheme val="minor"/>
    </font>
    <font>
      <b/>
      <sz val="16"/>
      <color theme="1"/>
      <name val="Calibri"/>
      <family val="2"/>
      <scheme val="minor"/>
    </font>
    <font>
      <b/>
      <sz val="11"/>
      <color theme="1"/>
      <name val="Calibri"/>
      <family val="2"/>
      <scheme val="minor"/>
    </font>
    <font>
      <b/>
      <sz val="11"/>
      <color rgb="FFFF0000"/>
      <name val="Calibri"/>
      <family val="2"/>
      <scheme val="minor"/>
    </font>
  </fonts>
  <fills count="7">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92D05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s>
  <cellStyleXfs count="1">
    <xf numFmtId="0" fontId="0" fillId="0" borderId="0">
      <alignment vertical="center"/>
    </xf>
  </cellStyleXfs>
  <cellXfs count="227">
    <xf numFmtId="0" fontId="0" fillId="0" borderId="0" xfId="0">
      <alignment vertical="center"/>
    </xf>
    <xf numFmtId="0" fontId="0" fillId="0" borderId="1" xfId="0" applyBorder="1">
      <alignment vertical="center"/>
    </xf>
    <xf numFmtId="0" fontId="0" fillId="2" borderId="1" xfId="0" applyFill="1" applyBorder="1">
      <alignment vertical="center"/>
    </xf>
    <xf numFmtId="0" fontId="0" fillId="0" borderId="0" xfId="0" applyBorder="1">
      <alignment vertical="center"/>
    </xf>
    <xf numFmtId="0" fontId="0" fillId="0" borderId="1" xfId="0" applyFill="1" applyBorder="1">
      <alignment vertical="center"/>
    </xf>
    <xf numFmtId="0" fontId="10" fillId="0" borderId="0" xfId="0" applyFont="1">
      <alignment vertical="center"/>
    </xf>
    <xf numFmtId="0" fontId="0" fillId="0" borderId="0" xfId="0" applyFill="1" applyBorder="1">
      <alignment vertical="center"/>
    </xf>
    <xf numFmtId="164" fontId="0" fillId="0" borderId="0" xfId="0" applyNumberFormat="1">
      <alignment vertical="center"/>
    </xf>
    <xf numFmtId="0" fontId="0" fillId="0" borderId="0" xfId="0" applyAlignment="1">
      <alignment vertical="center" wrapText="1"/>
    </xf>
    <xf numFmtId="2" fontId="0" fillId="0" borderId="0" xfId="0" applyNumberFormat="1">
      <alignment vertical="center"/>
    </xf>
    <xf numFmtId="165" fontId="0" fillId="0" borderId="0" xfId="0" applyNumberFormat="1">
      <alignment vertical="center"/>
    </xf>
    <xf numFmtId="2" fontId="0" fillId="0" borderId="0" xfId="0" applyNumberFormat="1" applyAlignment="1">
      <alignment vertical="center"/>
    </xf>
    <xf numFmtId="166" fontId="0" fillId="0" borderId="0" xfId="0" applyNumberFormat="1">
      <alignment vertical="center"/>
    </xf>
    <xf numFmtId="0" fontId="11" fillId="0" borderId="1" xfId="0" applyFont="1" applyBorder="1">
      <alignment vertical="center"/>
    </xf>
    <xf numFmtId="2" fontId="11" fillId="0" borderId="0" xfId="0" applyNumberFormat="1" applyFont="1">
      <alignment vertical="center"/>
    </xf>
    <xf numFmtId="0" fontId="11" fillId="0" borderId="0" xfId="0" applyFont="1">
      <alignment vertical="center"/>
    </xf>
    <xf numFmtId="0" fontId="0" fillId="3" borderId="1" xfId="0" applyFill="1" applyBorder="1">
      <alignment vertical="center"/>
    </xf>
    <xf numFmtId="0" fontId="0" fillId="0" borderId="0" xfId="0" applyAlignment="1"/>
    <xf numFmtId="2" fontId="0" fillId="0" borderId="0" xfId="0" applyNumberFormat="1" applyAlignment="1"/>
    <xf numFmtId="0" fontId="0" fillId="0" borderId="0" xfId="0" applyFill="1" applyAlignment="1"/>
    <xf numFmtId="0" fontId="12" fillId="0" borderId="0" xfId="0" applyFont="1" applyFill="1" applyAlignment="1"/>
    <xf numFmtId="0" fontId="13" fillId="0" borderId="1" xfId="0" applyFont="1" applyBorder="1">
      <alignment vertical="center"/>
    </xf>
    <xf numFmtId="0" fontId="0" fillId="0" borderId="0" xfId="0" applyAlignment="1">
      <alignment horizontal="center" vertical="center"/>
    </xf>
    <xf numFmtId="0" fontId="0" fillId="0" borderId="1" xfId="0" applyBorder="1" applyAlignment="1">
      <alignment horizontal="center"/>
    </xf>
    <xf numFmtId="164" fontId="0" fillId="0" borderId="6" xfId="0" applyNumberFormat="1" applyBorder="1" applyAlignment="1"/>
    <xf numFmtId="164" fontId="0" fillId="0" borderId="5" xfId="0" applyNumberFormat="1" applyBorder="1">
      <alignment vertical="center"/>
    </xf>
    <xf numFmtId="164" fontId="0" fillId="0" borderId="7" xfId="0" applyNumberFormat="1" applyBorder="1">
      <alignment vertical="center"/>
    </xf>
    <xf numFmtId="164" fontId="0" fillId="0" borderId="9" xfId="0" applyNumberFormat="1" applyBorder="1" applyAlignment="1"/>
    <xf numFmtId="164" fontId="0" fillId="0" borderId="10" xfId="0" applyNumberFormat="1" applyBorder="1">
      <alignment vertical="center"/>
    </xf>
    <xf numFmtId="0" fontId="0" fillId="2" borderId="2" xfId="0" applyFill="1" applyBorder="1" applyAlignment="1">
      <alignment horizontal="center" wrapText="1"/>
    </xf>
    <xf numFmtId="164" fontId="11" fillId="0" borderId="9" xfId="0" applyNumberFormat="1" applyFont="1" applyBorder="1" applyAlignment="1"/>
    <xf numFmtId="164" fontId="0" fillId="0" borderId="9" xfId="0" applyNumberFormat="1" applyBorder="1">
      <alignment vertical="center"/>
    </xf>
    <xf numFmtId="164" fontId="11" fillId="0" borderId="6" xfId="0" applyNumberFormat="1" applyFont="1" applyBorder="1" applyAlignment="1"/>
    <xf numFmtId="164" fontId="0" fillId="0" borderId="6" xfId="0" applyNumberFormat="1" applyBorder="1">
      <alignment vertical="center"/>
    </xf>
    <xf numFmtId="1" fontId="0" fillId="0" borderId="10" xfId="0" applyNumberFormat="1" applyBorder="1">
      <alignment vertical="center"/>
    </xf>
    <xf numFmtId="1" fontId="0" fillId="0" borderId="5" xfId="0" applyNumberFormat="1" applyBorder="1">
      <alignment vertical="center"/>
    </xf>
    <xf numFmtId="1" fontId="0" fillId="0" borderId="7" xfId="0" applyNumberFormat="1" applyBorder="1">
      <alignment vertical="center"/>
    </xf>
    <xf numFmtId="1" fontId="11" fillId="0" borderId="11" xfId="0" applyNumberFormat="1" applyFont="1" applyBorder="1" applyAlignment="1"/>
    <xf numFmtId="1" fontId="11" fillId="0" borderId="1" xfId="0" applyNumberFormat="1" applyFont="1" applyBorder="1" applyAlignment="1"/>
    <xf numFmtId="1" fontId="11" fillId="0" borderId="8" xfId="0" applyNumberFormat="1" applyFont="1" applyBorder="1" applyAlignment="1"/>
    <xf numFmtId="0" fontId="13" fillId="0" borderId="0" xfId="0" applyFont="1" applyBorder="1">
      <alignment vertical="center"/>
    </xf>
    <xf numFmtId="2" fontId="13" fillId="0" borderId="0" xfId="0" applyNumberFormat="1" applyFont="1" applyBorder="1" applyAlignment="1"/>
    <xf numFmtId="1" fontId="0" fillId="0" borderId="0" xfId="0" applyNumberFormat="1" applyBorder="1" applyAlignment="1"/>
    <xf numFmtId="164" fontId="0" fillId="0" borderId="0" xfId="0" applyNumberFormat="1" applyBorder="1" applyAlignment="1"/>
    <xf numFmtId="1" fontId="0" fillId="0" borderId="0" xfId="0" applyNumberFormat="1" applyBorder="1">
      <alignment vertical="center"/>
    </xf>
    <xf numFmtId="164" fontId="11" fillId="0" borderId="0" xfId="0" applyNumberFormat="1" applyFont="1" applyBorder="1" applyAlignment="1"/>
    <xf numFmtId="1" fontId="11" fillId="0" borderId="0" xfId="0" applyNumberFormat="1" applyFont="1" applyBorder="1" applyAlignment="1"/>
    <xf numFmtId="164" fontId="0" fillId="0" borderId="0" xfId="0" applyNumberFormat="1" applyBorder="1">
      <alignment vertical="center"/>
    </xf>
    <xf numFmtId="0" fontId="0" fillId="2" borderId="12" xfId="0" applyFill="1" applyBorder="1" applyAlignment="1">
      <alignment horizontal="center" wrapText="1"/>
    </xf>
    <xf numFmtId="0" fontId="0" fillId="2" borderId="13" xfId="0" applyFill="1" applyBorder="1" applyAlignment="1">
      <alignment horizontal="center" wrapText="1"/>
    </xf>
    <xf numFmtId="0" fontId="0" fillId="2" borderId="14" xfId="0" applyFill="1" applyBorder="1" applyAlignment="1">
      <alignment horizontal="center" wrapText="1"/>
    </xf>
    <xf numFmtId="0" fontId="13" fillId="0" borderId="5" xfId="0" applyFont="1" applyBorder="1" applyAlignment="1">
      <alignment horizontal="center"/>
    </xf>
    <xf numFmtId="2" fontId="13" fillId="0" borderId="5" xfId="0" applyNumberFormat="1" applyFont="1" applyBorder="1" applyAlignment="1"/>
    <xf numFmtId="164" fontId="0" fillId="0" borderId="16" xfId="0" applyNumberFormat="1" applyBorder="1" applyAlignment="1"/>
    <xf numFmtId="164" fontId="11" fillId="0" borderId="5" xfId="0" applyNumberFormat="1" applyFont="1" applyBorder="1">
      <alignment vertical="center"/>
    </xf>
    <xf numFmtId="164" fontId="0" fillId="0" borderId="15" xfId="0" applyNumberFormat="1" applyBorder="1" applyAlignment="1"/>
    <xf numFmtId="0" fontId="0" fillId="2" borderId="1" xfId="0" applyFill="1" applyBorder="1" applyAlignment="1">
      <alignment horizontal="center" wrapText="1"/>
    </xf>
    <xf numFmtId="164" fontId="0" fillId="0" borderId="1" xfId="0" applyNumberFormat="1" applyBorder="1">
      <alignment vertical="center"/>
    </xf>
    <xf numFmtId="0" fontId="7" fillId="0" borderId="0" xfId="0" applyFont="1" applyAlignment="1"/>
    <xf numFmtId="0" fontId="7" fillId="0" borderId="0" xfId="0" applyFont="1">
      <alignment vertical="center"/>
    </xf>
    <xf numFmtId="2" fontId="7" fillId="0" borderId="0" xfId="0" applyNumberFormat="1" applyFont="1" applyAlignment="1"/>
    <xf numFmtId="11" fontId="7" fillId="0" borderId="0" xfId="0" applyNumberFormat="1" applyFont="1">
      <alignment vertical="center"/>
    </xf>
    <xf numFmtId="0" fontId="7" fillId="0" borderId="0" xfId="0" applyFont="1" applyFill="1" applyAlignment="1"/>
    <xf numFmtId="0" fontId="14" fillId="0" borderId="0" xfId="0" applyFont="1" applyFill="1" applyAlignment="1"/>
    <xf numFmtId="0" fontId="7" fillId="0" borderId="0" xfId="0" applyFont="1" applyBorder="1">
      <alignment vertical="center"/>
    </xf>
    <xf numFmtId="0" fontId="7" fillId="0" borderId="0" xfId="0" applyFont="1" applyAlignment="1">
      <alignment horizontal="center" vertical="center"/>
    </xf>
    <xf numFmtId="0" fontId="7" fillId="0" borderId="1" xfId="0" applyFont="1" applyBorder="1" applyAlignment="1">
      <alignment horizontal="center"/>
    </xf>
    <xf numFmtId="0" fontId="15" fillId="0" borderId="5" xfId="0" applyFont="1" applyBorder="1" applyAlignment="1">
      <alignment horizontal="center"/>
    </xf>
    <xf numFmtId="0" fontId="7" fillId="2" borderId="2" xfId="0" applyFont="1" applyFill="1" applyBorder="1" applyAlignment="1">
      <alignment horizontal="center" wrapText="1"/>
    </xf>
    <xf numFmtId="0" fontId="7" fillId="2" borderId="12" xfId="0" applyFont="1" applyFill="1" applyBorder="1" applyAlignment="1">
      <alignment horizontal="center" wrapText="1"/>
    </xf>
    <xf numFmtId="0" fontId="7" fillId="2" borderId="13" xfId="0" applyFont="1" applyFill="1" applyBorder="1" applyAlignment="1">
      <alignment horizontal="center" wrapText="1"/>
    </xf>
    <xf numFmtId="0" fontId="7" fillId="2" borderId="14" xfId="0" applyFont="1" applyFill="1" applyBorder="1" applyAlignment="1">
      <alignment horizontal="center" wrapText="1"/>
    </xf>
    <xf numFmtId="0" fontId="15" fillId="0" borderId="1" xfId="0" applyFont="1" applyBorder="1">
      <alignment vertical="center"/>
    </xf>
    <xf numFmtId="2" fontId="15" fillId="0" borderId="5" xfId="0" applyNumberFormat="1" applyFont="1" applyBorder="1" applyAlignment="1"/>
    <xf numFmtId="164" fontId="7" fillId="0" borderId="9" xfId="0" applyNumberFormat="1" applyFont="1" applyBorder="1" applyAlignment="1"/>
    <xf numFmtId="1" fontId="7" fillId="0" borderId="10" xfId="0" applyNumberFormat="1" applyFont="1" applyBorder="1">
      <alignment vertical="center"/>
    </xf>
    <xf numFmtId="164" fontId="16" fillId="0" borderId="9" xfId="0" applyNumberFormat="1" applyFont="1" applyBorder="1" applyAlignment="1"/>
    <xf numFmtId="1" fontId="16" fillId="0" borderId="11" xfId="0" applyNumberFormat="1" applyFont="1" applyBorder="1" applyAlignment="1"/>
    <xf numFmtId="164" fontId="16" fillId="0" borderId="11" xfId="0" applyNumberFormat="1" applyFont="1" applyBorder="1" applyAlignment="1"/>
    <xf numFmtId="164" fontId="7" fillId="0" borderId="9" xfId="0" applyNumberFormat="1" applyFont="1" applyBorder="1">
      <alignment vertical="center"/>
    </xf>
    <xf numFmtId="164" fontId="7" fillId="0" borderId="10" xfId="0" applyNumberFormat="1" applyFont="1" applyBorder="1">
      <alignment vertical="center"/>
    </xf>
    <xf numFmtId="0" fontId="15" fillId="0" borderId="0" xfId="0" applyFont="1" applyBorder="1">
      <alignment vertical="center"/>
    </xf>
    <xf numFmtId="2" fontId="15" fillId="0" borderId="0" xfId="0" applyNumberFormat="1" applyFont="1" applyBorder="1" applyAlignment="1"/>
    <xf numFmtId="164" fontId="7" fillId="0" borderId="0" xfId="0" applyNumberFormat="1" applyFont="1" applyBorder="1" applyAlignment="1"/>
    <xf numFmtId="1" fontId="7" fillId="0" borderId="0" xfId="0" applyNumberFormat="1" applyFont="1" applyBorder="1">
      <alignment vertical="center"/>
    </xf>
    <xf numFmtId="164" fontId="16" fillId="0" borderId="0" xfId="0" applyNumberFormat="1" applyFont="1" applyBorder="1" applyAlignment="1"/>
    <xf numFmtId="1" fontId="16" fillId="0" borderId="0" xfId="0" applyNumberFormat="1" applyFont="1" applyBorder="1" applyAlignment="1"/>
    <xf numFmtId="164" fontId="7" fillId="0" borderId="0" xfId="0" applyNumberFormat="1" applyFont="1" applyBorder="1">
      <alignment vertical="center"/>
    </xf>
    <xf numFmtId="1" fontId="7" fillId="0" borderId="0" xfId="0" applyNumberFormat="1" applyFont="1" applyBorder="1" applyAlignment="1"/>
    <xf numFmtId="0" fontId="0" fillId="0" borderId="20" xfId="0" applyBorder="1">
      <alignment vertical="center"/>
    </xf>
    <xf numFmtId="0" fontId="0" fillId="0" borderId="22" xfId="0" applyBorder="1">
      <alignment vertical="center"/>
    </xf>
    <xf numFmtId="0" fontId="0" fillId="0" borderId="23" xfId="0" applyBorder="1">
      <alignment vertical="center"/>
    </xf>
    <xf numFmtId="2" fontId="0" fillId="0" borderId="0" xfId="0" applyNumberFormat="1" applyBorder="1">
      <alignment vertical="center"/>
    </xf>
    <xf numFmtId="16" fontId="0" fillId="0" borderId="0" xfId="0" quotePrefix="1" applyNumberFormat="1" applyBorder="1">
      <alignment vertical="center"/>
    </xf>
    <xf numFmtId="0" fontId="0" fillId="0" borderId="18" xfId="0" applyBorder="1">
      <alignment vertical="center"/>
    </xf>
    <xf numFmtId="0" fontId="0" fillId="0" borderId="25" xfId="0" applyBorder="1">
      <alignment vertical="center"/>
    </xf>
    <xf numFmtId="165" fontId="0" fillId="0" borderId="0" xfId="0" applyNumberFormat="1" applyBorder="1">
      <alignment vertical="center"/>
    </xf>
    <xf numFmtId="166" fontId="0" fillId="0" borderId="0" xfId="0" applyNumberFormat="1" applyBorder="1">
      <alignment vertical="center"/>
    </xf>
    <xf numFmtId="0" fontId="10" fillId="0" borderId="0" xfId="0" applyFont="1" applyBorder="1">
      <alignment vertical="center"/>
    </xf>
    <xf numFmtId="164" fontId="16" fillId="0" borderId="8" xfId="0" applyNumberFormat="1" applyFont="1" applyBorder="1" applyAlignment="1"/>
    <xf numFmtId="164" fontId="7" fillId="0" borderId="6" xfId="0" applyNumberFormat="1" applyFont="1" applyBorder="1" applyAlignment="1"/>
    <xf numFmtId="1" fontId="7" fillId="0" borderId="7" xfId="0" applyNumberFormat="1" applyFont="1" applyBorder="1">
      <alignment vertical="center"/>
    </xf>
    <xf numFmtId="164" fontId="16" fillId="0" borderId="6" xfId="0" applyNumberFormat="1" applyFont="1" applyBorder="1" applyAlignment="1"/>
    <xf numFmtId="1" fontId="16" fillId="0" borderId="8" xfId="0" applyNumberFormat="1" applyFont="1" applyBorder="1" applyAlignment="1"/>
    <xf numFmtId="164" fontId="7" fillId="0" borderId="6" xfId="0" applyNumberFormat="1" applyFont="1" applyBorder="1">
      <alignment vertical="center"/>
    </xf>
    <xf numFmtId="164" fontId="7" fillId="0" borderId="7" xfId="0" applyNumberFormat="1" applyFont="1" applyBorder="1">
      <alignment vertical="center"/>
    </xf>
    <xf numFmtId="1" fontId="7" fillId="0" borderId="16" xfId="0" applyNumberFormat="1" applyFont="1" applyBorder="1" applyAlignment="1"/>
    <xf numFmtId="1" fontId="7" fillId="0" borderId="16" xfId="0" applyNumberFormat="1" applyFont="1" applyFill="1" applyBorder="1" applyAlignment="1"/>
    <xf numFmtId="1" fontId="7" fillId="0" borderId="15" xfId="0" applyNumberFormat="1" applyFont="1" applyBorder="1" applyAlignment="1"/>
    <xf numFmtId="164" fontId="0" fillId="0" borderId="0" xfId="0" applyNumberFormat="1" applyFill="1">
      <alignment vertical="center"/>
    </xf>
    <xf numFmtId="0" fontId="10" fillId="3" borderId="1" xfId="0" applyNumberFormat="1" applyFont="1" applyFill="1" applyBorder="1" applyAlignment="1"/>
    <xf numFmtId="0" fontId="10" fillId="3" borderId="1" xfId="0" applyFont="1" applyFill="1" applyBorder="1" applyAlignment="1"/>
    <xf numFmtId="0" fontId="7" fillId="3" borderId="1" xfId="0" applyNumberFormat="1" applyFont="1" applyFill="1" applyBorder="1" applyAlignment="1"/>
    <xf numFmtId="0" fontId="7" fillId="3" borderId="1" xfId="0" applyFont="1" applyFill="1" applyBorder="1" applyAlignment="1"/>
    <xf numFmtId="164" fontId="0" fillId="3" borderId="1" xfId="0" applyNumberFormat="1" applyFill="1" applyBorder="1">
      <alignment vertical="center"/>
    </xf>
    <xf numFmtId="0" fontId="11" fillId="0" borderId="25" xfId="0" applyFont="1" applyBorder="1">
      <alignment vertical="center"/>
    </xf>
    <xf numFmtId="164" fontId="11" fillId="0" borderId="0" xfId="0" applyNumberFormat="1" applyFont="1" applyBorder="1">
      <alignment vertical="center"/>
    </xf>
    <xf numFmtId="0" fontId="11" fillId="0" borderId="0" xfId="0" applyFont="1" applyBorder="1">
      <alignment vertical="center"/>
    </xf>
    <xf numFmtId="0" fontId="7" fillId="0" borderId="0" xfId="0" applyFont="1" applyFill="1" applyBorder="1" applyAlignment="1">
      <alignment horizontal="center" vertical="center"/>
    </xf>
    <xf numFmtId="0" fontId="0" fillId="2" borderId="22" xfId="0" applyFill="1" applyBorder="1" applyAlignment="1">
      <alignment horizontal="center" vertical="center"/>
    </xf>
    <xf numFmtId="0" fontId="0" fillId="2" borderId="25" xfId="0" applyFill="1" applyBorder="1" applyAlignment="1">
      <alignment horizontal="center" vertical="center"/>
    </xf>
    <xf numFmtId="164" fontId="0" fillId="0" borderId="26" xfId="0" applyNumberFormat="1" applyBorder="1">
      <alignment vertical="center"/>
    </xf>
    <xf numFmtId="164" fontId="7" fillId="0" borderId="26" xfId="0" applyNumberFormat="1" applyFont="1" applyBorder="1">
      <alignment vertical="center"/>
    </xf>
    <xf numFmtId="164" fontId="7" fillId="0" borderId="27" xfId="0" applyNumberFormat="1" applyFont="1" applyBorder="1">
      <alignment vertical="center"/>
    </xf>
    <xf numFmtId="0" fontId="4" fillId="2" borderId="25" xfId="0" applyFont="1" applyFill="1" applyBorder="1" applyAlignment="1">
      <alignment horizontal="center" vertical="center"/>
    </xf>
    <xf numFmtId="0" fontId="4" fillId="0" borderId="0" xfId="0" applyFont="1">
      <alignment vertical="center"/>
    </xf>
    <xf numFmtId="0" fontId="4" fillId="2" borderId="22" xfId="0" applyFont="1" applyFill="1" applyBorder="1" applyAlignment="1">
      <alignment horizontal="center" vertical="center"/>
    </xf>
    <xf numFmtId="164" fontId="0" fillId="0" borderId="28" xfId="0" applyNumberFormat="1" applyBorder="1">
      <alignment vertical="center"/>
    </xf>
    <xf numFmtId="0" fontId="3" fillId="0" borderId="0" xfId="0" applyFont="1">
      <alignment vertical="center"/>
    </xf>
    <xf numFmtId="49" fontId="17" fillId="0" borderId="0" xfId="0" applyNumberFormat="1" applyFont="1" applyFill="1" applyBorder="1" applyAlignment="1">
      <alignment horizontal="center"/>
    </xf>
    <xf numFmtId="0" fontId="17" fillId="0" borderId="1" xfId="0" applyFont="1" applyFill="1" applyBorder="1" applyAlignment="1">
      <alignment horizontal="center"/>
    </xf>
    <xf numFmtId="0" fontId="17" fillId="0" borderId="1" xfId="0" applyFont="1" applyFill="1" applyBorder="1" applyAlignment="1"/>
    <xf numFmtId="0" fontId="17" fillId="0" borderId="1" xfId="0" applyFont="1" applyFill="1" applyBorder="1" applyAlignment="1">
      <alignment horizontal="right"/>
    </xf>
    <xf numFmtId="0" fontId="16" fillId="0" borderId="0" xfId="0" applyFont="1" applyFill="1" applyBorder="1" applyAlignment="1">
      <alignment horizontal="center"/>
    </xf>
    <xf numFmtId="49" fontId="16" fillId="0" borderId="0" xfId="0" applyNumberFormat="1" applyFont="1" applyFill="1" applyBorder="1" applyAlignment="1"/>
    <xf numFmtId="0" fontId="16" fillId="0" borderId="0" xfId="0" applyFont="1" applyFill="1" applyBorder="1" applyAlignment="1"/>
    <xf numFmtId="0" fontId="16" fillId="0" borderId="0" xfId="0" applyFont="1" applyAlignment="1"/>
    <xf numFmtId="0" fontId="20" fillId="4" borderId="1" xfId="0" applyFont="1" applyFill="1" applyBorder="1" applyAlignment="1">
      <alignment horizontal="center" vertical="center"/>
    </xf>
    <xf numFmtId="0" fontId="16" fillId="4" borderId="1" xfId="0" applyFont="1" applyFill="1" applyBorder="1" applyAlignment="1">
      <alignment horizontal="center" vertical="center"/>
    </xf>
    <xf numFmtId="0" fontId="17" fillId="4" borderId="1" xfId="0" applyFont="1" applyFill="1" applyBorder="1" applyAlignment="1">
      <alignment horizontal="center" vertical="center"/>
    </xf>
    <xf numFmtId="0" fontId="20" fillId="0" borderId="0" xfId="0" applyFont="1" applyFill="1" applyBorder="1" applyAlignment="1">
      <alignment horizontal="center" vertical="center"/>
    </xf>
    <xf numFmtId="0" fontId="16" fillId="0" borderId="0" xfId="0" applyFont="1" applyAlignment="1">
      <alignment horizontal="center"/>
    </xf>
    <xf numFmtId="0" fontId="21" fillId="0" borderId="0" xfId="0" applyFont="1" applyFill="1" applyBorder="1" applyAlignment="1">
      <alignment horizontal="left"/>
    </xf>
    <xf numFmtId="0" fontId="17" fillId="0" borderId="1" xfId="0" applyFont="1" applyBorder="1" applyAlignment="1"/>
    <xf numFmtId="0" fontId="17" fillId="0" borderId="1" xfId="0" applyFont="1" applyBorder="1" applyAlignment="1">
      <alignment horizontal="center"/>
    </xf>
    <xf numFmtId="0" fontId="17" fillId="0" borderId="1" xfId="0" applyFont="1" applyBorder="1" applyAlignment="1">
      <alignment horizontal="right"/>
    </xf>
    <xf numFmtId="0" fontId="17" fillId="0" borderId="0" xfId="0" applyFont="1" applyFill="1" applyBorder="1" applyAlignment="1">
      <alignment horizontal="center"/>
    </xf>
    <xf numFmtId="49" fontId="17" fillId="0" borderId="0" xfId="0" quotePrefix="1" applyNumberFormat="1" applyFont="1" applyFill="1" applyBorder="1" applyAlignment="1">
      <alignment horizontal="center"/>
    </xf>
    <xf numFmtId="0" fontId="17" fillId="0" borderId="1" xfId="0" applyFont="1" applyBorder="1" applyAlignment="1">
      <alignment wrapText="1"/>
    </xf>
    <xf numFmtId="0" fontId="22" fillId="0" borderId="0" xfId="0" applyFont="1" applyAlignment="1"/>
    <xf numFmtId="49" fontId="25" fillId="0" borderId="0" xfId="0" applyNumberFormat="1" applyFont="1" applyFill="1" applyBorder="1" applyAlignment="1">
      <alignment horizontal="left"/>
    </xf>
    <xf numFmtId="164" fontId="16" fillId="0" borderId="9" xfId="0" applyNumberFormat="1" applyFont="1" applyFill="1" applyBorder="1" applyAlignment="1"/>
    <xf numFmtId="1" fontId="16" fillId="0" borderId="10" xfId="0" applyNumberFormat="1" applyFont="1" applyFill="1" applyBorder="1">
      <alignment vertical="center"/>
    </xf>
    <xf numFmtId="1" fontId="16" fillId="0" borderId="11" xfId="0" applyNumberFormat="1" applyFont="1" applyFill="1" applyBorder="1" applyAlignment="1"/>
    <xf numFmtId="164" fontId="16" fillId="0" borderId="11" xfId="0" applyNumberFormat="1" applyFont="1" applyFill="1" applyBorder="1" applyAlignment="1"/>
    <xf numFmtId="164" fontId="16" fillId="0" borderId="9" xfId="0" applyNumberFormat="1" applyFont="1" applyFill="1" applyBorder="1">
      <alignment vertical="center"/>
    </xf>
    <xf numFmtId="164" fontId="16" fillId="0" borderId="10" xfId="0" applyNumberFormat="1" applyFont="1" applyFill="1" applyBorder="1">
      <alignment vertical="center"/>
    </xf>
    <xf numFmtId="164" fontId="16" fillId="0" borderId="26" xfId="0" applyNumberFormat="1" applyFont="1" applyFill="1" applyBorder="1">
      <alignment vertical="center"/>
    </xf>
    <xf numFmtId="164" fontId="24" fillId="0" borderId="9" xfId="0" applyNumberFormat="1" applyFont="1" applyFill="1" applyBorder="1">
      <alignment vertical="center"/>
    </xf>
    <xf numFmtId="164" fontId="24" fillId="0" borderId="10" xfId="0" applyNumberFormat="1" applyFont="1" applyFill="1" applyBorder="1">
      <alignment vertical="center"/>
    </xf>
    <xf numFmtId="0" fontId="1" fillId="0" borderId="0" xfId="0" applyFont="1">
      <alignment vertical="center"/>
    </xf>
    <xf numFmtId="164" fontId="11" fillId="0" borderId="9" xfId="0" applyNumberFormat="1" applyFont="1" applyFill="1" applyBorder="1" applyAlignment="1"/>
    <xf numFmtId="1" fontId="11" fillId="0" borderId="5" xfId="0" applyNumberFormat="1" applyFont="1" applyFill="1" applyBorder="1">
      <alignment vertical="center"/>
    </xf>
    <xf numFmtId="1" fontId="11" fillId="0" borderId="1" xfId="0" applyNumberFormat="1" applyFont="1" applyFill="1" applyBorder="1" applyAlignment="1"/>
    <xf numFmtId="164" fontId="11" fillId="0" borderId="11" xfId="0" applyNumberFormat="1" applyFont="1" applyFill="1" applyBorder="1" applyAlignment="1"/>
    <xf numFmtId="164" fontId="11" fillId="0" borderId="9" xfId="0" applyNumberFormat="1" applyFont="1" applyFill="1" applyBorder="1">
      <alignment vertical="center"/>
    </xf>
    <xf numFmtId="164" fontId="11" fillId="0" borderId="10" xfId="0" applyNumberFormat="1" applyFont="1" applyFill="1" applyBorder="1">
      <alignment vertical="center"/>
    </xf>
    <xf numFmtId="164" fontId="11" fillId="0" borderId="26" xfId="0" applyNumberFormat="1" applyFont="1" applyFill="1" applyBorder="1">
      <alignment vertical="center"/>
    </xf>
    <xf numFmtId="1" fontId="24" fillId="0" borderId="16" xfId="0" applyNumberFormat="1" applyFont="1" applyFill="1" applyBorder="1" applyAlignment="1"/>
    <xf numFmtId="164" fontId="10" fillId="0" borderId="9" xfId="0" applyNumberFormat="1" applyFont="1" applyFill="1" applyBorder="1">
      <alignment vertical="center"/>
    </xf>
    <xf numFmtId="164" fontId="10" fillId="0" borderId="9" xfId="0" applyNumberFormat="1" applyFont="1" applyBorder="1">
      <alignment vertical="center"/>
    </xf>
    <xf numFmtId="164" fontId="10" fillId="0" borderId="16" xfId="0" applyNumberFormat="1" applyFont="1" applyFill="1" applyBorder="1" applyAlignment="1"/>
    <xf numFmtId="164" fontId="10" fillId="0" borderId="16" xfId="0" applyNumberFormat="1" applyFont="1" applyBorder="1" applyAlignment="1"/>
    <xf numFmtId="164" fontId="10" fillId="0" borderId="5" xfId="0" applyNumberFormat="1" applyFont="1" applyFill="1" applyBorder="1">
      <alignment vertical="center"/>
    </xf>
    <xf numFmtId="164" fontId="10" fillId="0" borderId="5" xfId="0" applyNumberFormat="1" applyFont="1" applyBorder="1">
      <alignment vertical="center"/>
    </xf>
    <xf numFmtId="0" fontId="20" fillId="4" borderId="1" xfId="0" applyFont="1" applyFill="1" applyBorder="1" applyAlignment="1">
      <alignment horizontal="center" vertical="center" wrapText="1"/>
    </xf>
    <xf numFmtId="0" fontId="18" fillId="0" borderId="25" xfId="0" applyFont="1" applyBorder="1" applyAlignment="1">
      <alignment horizontal="center" wrapText="1"/>
    </xf>
    <xf numFmtId="0" fontId="19" fillId="0" borderId="25" xfId="0" applyFont="1" applyBorder="1" applyAlignment="1">
      <alignment horizontal="center" wrapText="1"/>
    </xf>
    <xf numFmtId="0" fontId="21" fillId="5" borderId="1" xfId="0" applyFont="1" applyFill="1" applyBorder="1" applyAlignment="1">
      <alignment horizontal="left"/>
    </xf>
    <xf numFmtId="49" fontId="25" fillId="0" borderId="29" xfId="0" applyNumberFormat="1" applyFont="1" applyFill="1" applyBorder="1" applyAlignment="1">
      <alignment horizontal="left" vertical="center" wrapText="1"/>
    </xf>
    <xf numFmtId="0" fontId="27" fillId="0" borderId="0" xfId="0" applyFont="1">
      <alignment vertical="center"/>
    </xf>
    <xf numFmtId="0" fontId="26" fillId="0" borderId="0" xfId="0" applyFont="1" applyAlignment="1">
      <alignment vertical="center" wrapText="1"/>
    </xf>
    <xf numFmtId="0" fontId="26" fillId="0" borderId="0" xfId="0" applyFont="1">
      <alignment vertical="center"/>
    </xf>
    <xf numFmtId="0" fontId="2" fillId="0" borderId="3" xfId="0" applyFont="1" applyBorder="1" applyAlignment="1">
      <alignment horizontal="left" vertical="center" wrapText="1"/>
    </xf>
    <xf numFmtId="0" fontId="5" fillId="0" borderId="17" xfId="0" applyFont="1" applyBorder="1" applyAlignment="1">
      <alignment horizontal="left" vertical="center" wrapText="1"/>
    </xf>
    <xf numFmtId="0" fontId="5" fillId="0" borderId="4" xfId="0" applyFont="1" applyBorder="1" applyAlignment="1">
      <alignment horizontal="left" vertical="center" wrapText="1"/>
    </xf>
    <xf numFmtId="0" fontId="7" fillId="2" borderId="20" xfId="0" applyFont="1" applyFill="1" applyBorder="1" applyAlignment="1">
      <alignment horizontal="center" vertical="center"/>
    </xf>
    <xf numFmtId="0" fontId="7" fillId="2" borderId="21" xfId="0" applyFont="1" applyFill="1" applyBorder="1" applyAlignment="1">
      <alignment horizontal="center" vertical="center"/>
    </xf>
    <xf numFmtId="0" fontId="7" fillId="2" borderId="18" xfId="0" applyFont="1" applyFill="1" applyBorder="1" applyAlignment="1">
      <alignment horizontal="center" vertical="center"/>
    </xf>
    <xf numFmtId="0" fontId="7" fillId="2" borderId="19" xfId="0" applyFont="1" applyFill="1" applyBorder="1" applyAlignment="1">
      <alignment horizontal="center" vertical="center"/>
    </xf>
    <xf numFmtId="0" fontId="6" fillId="2" borderId="3" xfId="0" applyFont="1" applyFill="1" applyBorder="1" applyAlignment="1">
      <alignment horizontal="center" vertical="center"/>
    </xf>
    <xf numFmtId="0" fontId="7" fillId="2" borderId="17" xfId="0" applyFont="1" applyFill="1" applyBorder="1" applyAlignment="1">
      <alignment horizontal="center" vertical="center"/>
    </xf>
    <xf numFmtId="0" fontId="7" fillId="2" borderId="4" xfId="0" applyFont="1" applyFill="1" applyBorder="1" applyAlignment="1">
      <alignment horizontal="center" vertical="center"/>
    </xf>
    <xf numFmtId="0" fontId="6" fillId="2" borderId="20" xfId="0" applyFont="1" applyFill="1" applyBorder="1" applyAlignment="1">
      <alignment horizontal="center" vertical="center"/>
    </xf>
    <xf numFmtId="0" fontId="6" fillId="2" borderId="12" xfId="0" applyFont="1" applyFill="1" applyBorder="1" applyAlignment="1">
      <alignment horizontal="center" vertical="center"/>
    </xf>
    <xf numFmtId="0" fontId="7" fillId="2" borderId="14" xfId="0" applyFont="1" applyFill="1" applyBorder="1" applyAlignment="1">
      <alignment horizontal="center" vertical="center"/>
    </xf>
    <xf numFmtId="0" fontId="6" fillId="2" borderId="14" xfId="0" applyFont="1" applyFill="1" applyBorder="1" applyAlignment="1">
      <alignment horizontal="center" vertical="center"/>
    </xf>
    <xf numFmtId="0" fontId="7" fillId="2" borderId="13" xfId="0" applyFont="1" applyFill="1" applyBorder="1" applyAlignment="1">
      <alignment horizontal="center" vertical="center"/>
    </xf>
    <xf numFmtId="0" fontId="4" fillId="2" borderId="3" xfId="0" applyFont="1"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2" borderId="18" xfId="0" applyFill="1" applyBorder="1" applyAlignment="1">
      <alignment horizontal="center" vertical="center"/>
    </xf>
    <xf numFmtId="0" fontId="0" fillId="2" borderId="19" xfId="0" applyFill="1" applyBorder="1" applyAlignment="1">
      <alignment horizontal="center" vertical="center"/>
    </xf>
    <xf numFmtId="0" fontId="0" fillId="2" borderId="3" xfId="0" applyFill="1" applyBorder="1" applyAlignment="1">
      <alignment horizontal="center" vertical="center"/>
    </xf>
    <xf numFmtId="0" fontId="0" fillId="2" borderId="17" xfId="0" applyFill="1" applyBorder="1" applyAlignment="1">
      <alignment horizontal="center" vertical="center"/>
    </xf>
    <xf numFmtId="0" fontId="0" fillId="2" borderId="4" xfId="0" applyFill="1" applyBorder="1" applyAlignment="1">
      <alignment horizontal="center" vertical="center"/>
    </xf>
    <xf numFmtId="0" fontId="0" fillId="2" borderId="12" xfId="0" applyFill="1" applyBorder="1" applyAlignment="1">
      <alignment horizontal="center" vertical="center"/>
    </xf>
    <xf numFmtId="0" fontId="0" fillId="2" borderId="14" xfId="0" applyFill="1" applyBorder="1" applyAlignment="1">
      <alignment horizontal="center" vertical="center"/>
    </xf>
    <xf numFmtId="0" fontId="0" fillId="2" borderId="13" xfId="0" applyFill="1" applyBorder="1" applyAlignment="1">
      <alignment horizontal="center" vertical="center"/>
    </xf>
    <xf numFmtId="0" fontId="28" fillId="0" borderId="0" xfId="0" applyFont="1">
      <alignment vertical="center"/>
    </xf>
    <xf numFmtId="0" fontId="11" fillId="3" borderId="1" xfId="0" applyFont="1" applyFill="1" applyBorder="1">
      <alignment vertical="center"/>
    </xf>
    <xf numFmtId="0" fontId="0" fillId="0" borderId="21" xfId="0" applyBorder="1" applyAlignment="1">
      <alignment vertical="center" wrapText="1"/>
    </xf>
    <xf numFmtId="0" fontId="0" fillId="0" borderId="24" xfId="0" applyBorder="1" applyAlignment="1">
      <alignment vertical="center" wrapText="1"/>
    </xf>
    <xf numFmtId="0" fontId="0" fillId="0" borderId="19" xfId="0" applyBorder="1" applyAlignment="1">
      <alignment vertical="center" wrapText="1"/>
    </xf>
    <xf numFmtId="0" fontId="0" fillId="0" borderId="0" xfId="0" applyAlignment="1">
      <alignment vertical="center" wrapText="1"/>
    </xf>
    <xf numFmtId="165" fontId="29" fillId="0" borderId="0" xfId="0" applyNumberFormat="1" applyFont="1">
      <alignment vertical="center"/>
    </xf>
    <xf numFmtId="0" fontId="29" fillId="0" borderId="0" xfId="0" applyFont="1">
      <alignment vertical="center"/>
    </xf>
    <xf numFmtId="1" fontId="29" fillId="0" borderId="0" xfId="0" applyNumberFormat="1" applyFont="1">
      <alignment vertical="center"/>
    </xf>
    <xf numFmtId="0" fontId="0" fillId="3" borderId="0" xfId="0" applyFill="1" applyBorder="1">
      <alignment vertical="center"/>
    </xf>
    <xf numFmtId="2" fontId="29" fillId="0" borderId="0" xfId="0" applyNumberFormat="1" applyFont="1">
      <alignment vertical="center"/>
    </xf>
    <xf numFmtId="2" fontId="29" fillId="0" borderId="0" xfId="0" applyNumberFormat="1" applyFont="1" applyBorder="1">
      <alignment vertical="center"/>
    </xf>
    <xf numFmtId="165" fontId="0" fillId="0" borderId="25" xfId="0" applyNumberFormat="1" applyBorder="1">
      <alignment vertical="center"/>
    </xf>
    <xf numFmtId="1" fontId="29" fillId="0" borderId="0" xfId="0" applyNumberFormat="1" applyFont="1" applyFill="1" applyBorder="1">
      <alignment vertical="center"/>
    </xf>
    <xf numFmtId="0" fontId="16" fillId="6" borderId="1" xfId="0" applyFont="1" applyFill="1" applyBorder="1">
      <alignment vertical="center"/>
    </xf>
    <xf numFmtId="165" fontId="29" fillId="0" borderId="0" xfId="0" applyNumberFormat="1" applyFont="1" applyFill="1" applyBorder="1">
      <alignment vertical="center"/>
    </xf>
    <xf numFmtId="0" fontId="16" fillId="6" borderId="1" xfId="0" applyFont="1" applyFill="1" applyBorder="1" applyAlignment="1">
      <alignment horizontal="right" vertical="center"/>
    </xf>
    <xf numFmtId="164" fontId="29" fillId="0" borderId="0" xfId="0" applyNumberFormat="1" applyFont="1" applyBorder="1">
      <alignment vertical="center"/>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ltLang="en-US"/>
              <a:t>Bode Plot of Current Loop</a:t>
            </a:r>
          </a:p>
        </c:rich>
      </c:tx>
      <c:layout>
        <c:manualLayout>
          <c:xMode val="edge"/>
          <c:yMode val="edge"/>
          <c:x val="0.12772218952324896"/>
          <c:y val="3.7250101469275328E-2"/>
        </c:manualLayout>
      </c:layout>
    </c:title>
    <c:plotArea>
      <c:layout>
        <c:manualLayout>
          <c:layoutTarget val="inner"/>
          <c:xMode val="edge"/>
          <c:yMode val="edge"/>
          <c:x val="0.12505629763689491"/>
          <c:y val="0.17423419898599712"/>
          <c:w val="0.7380539610936282"/>
          <c:h val="0.60346391483673156"/>
        </c:manualLayout>
      </c:layout>
      <c:scatterChart>
        <c:scatterStyle val="smoothMarker"/>
        <c:ser>
          <c:idx val="0"/>
          <c:order val="0"/>
          <c:tx>
            <c:strRef>
              <c:f>BodePlot_iLoop!$F$6</c:f>
              <c:strCache>
                <c:ptCount val="1"/>
                <c:pt idx="0">
                  <c:v>Gid(s)</c:v>
                </c:pt>
              </c:strCache>
            </c:strRef>
          </c:tx>
          <c:marker>
            <c:symbol val="none"/>
          </c:marker>
          <c:xVal>
            <c:numRef>
              <c:f>BodePlot_iLoop!$E$9:$E$48</c:f>
              <c:numCache>
                <c:formatCode>0</c:formatCode>
                <c:ptCount val="40"/>
                <c:pt idx="0">
                  <c:v>100</c:v>
                </c:pt>
                <c:pt idx="1">
                  <c:v>122.52798573828653</c:v>
                </c:pt>
                <c:pt idx="2">
                  <c:v>150.13107289081739</c:v>
                </c:pt>
                <c:pt idx="3">
                  <c:v>183.95257958039721</c:v>
                </c:pt>
                <c:pt idx="4">
                  <c:v>225.39339047347917</c:v>
                </c:pt>
                <c:pt idx="5">
                  <c:v>276.16998133438517</c:v>
                </c:pt>
                <c:pt idx="6">
                  <c:v>338.38551534282357</c:v>
                </c:pt>
                <c:pt idx="7">
                  <c:v>414.61695597968202</c:v>
                </c:pt>
                <c:pt idx="8">
                  <c:v>508.02180469130275</c:v>
                </c:pt>
                <c:pt idx="9">
                  <c:v>622.46888439954444</c:v>
                </c:pt>
                <c:pt idx="10">
                  <c:v>762.69858590234469</c:v>
                </c:pt>
                <c:pt idx="11">
                  <c:v>934.51921456053833</c:v>
                </c:pt>
                <c:pt idx="12">
                  <c:v>1145.0475699382821</c:v>
                </c:pt>
                <c:pt idx="13">
                  <c:v>1403.0037231905753</c:v>
                </c:pt>
                <c:pt idx="14">
                  <c:v>1719.0722018585766</c:v>
                </c:pt>
                <c:pt idx="15">
                  <c:v>2106.3445423241237</c:v>
                </c:pt>
                <c:pt idx="16">
                  <c:v>2580.8615404180778</c:v>
                </c:pt>
                <c:pt idx="17">
                  <c:v>3162.2776601683804</c:v>
                </c:pt>
                <c:pt idx="18">
                  <c:v>3874.6751204561324</c:v>
                </c:pt>
                <c:pt idx="19">
                  <c:v>4747.5613789974323</c:v>
                </c:pt>
                <c:pt idx="20">
                  <c:v>5817.0913293743606</c:v>
                </c:pt>
                <c:pt idx="21">
                  <c:v>7127.5648344389147</c:v>
                </c:pt>
                <c:pt idx="22">
                  <c:v>8733.2616238284518</c:v>
                </c:pt>
                <c:pt idx="23">
                  <c:v>10700.689556931751</c:v>
                </c:pt>
                <c:pt idx="24">
                  <c:v>13111.339374215646</c:v>
                </c:pt>
                <c:pt idx="25">
                  <c:v>16065.060038537315</c:v>
                </c:pt>
                <c:pt idx="26">
                  <c:v>19684.194472866158</c:v>
                </c:pt>
                <c:pt idx="27">
                  <c:v>24118.646996410022</c:v>
                </c:pt>
                <c:pt idx="28">
                  <c:v>29552.092352028933</c:v>
                </c:pt>
                <c:pt idx="29">
                  <c:v>36209.583502459194</c:v>
                </c:pt>
                <c:pt idx="30">
                  <c:v>44366.873309786206</c:v>
                </c:pt>
                <c:pt idx="31">
                  <c:v>54361.83620153847</c:v>
                </c:pt>
                <c:pt idx="32">
                  <c:v>66608.462908091708</c:v>
                </c:pt>
                <c:pt idx="33">
                  <c:v>81614.007932518449</c:v>
                </c:pt>
                <c:pt idx="34">
                  <c:v>100000</c:v>
                </c:pt>
                <c:pt idx="35">
                  <c:v>122527.9857382865</c:v>
                </c:pt>
                <c:pt idx="36">
                  <c:v>150131.07289081762</c:v>
                </c:pt>
                <c:pt idx="37">
                  <c:v>183952.57958039781</c:v>
                </c:pt>
                <c:pt idx="38">
                  <c:v>225393.39047347952</c:v>
                </c:pt>
                <c:pt idx="39">
                  <c:v>276169.98133438535</c:v>
                </c:pt>
              </c:numCache>
            </c:numRef>
          </c:xVal>
          <c:yVal>
            <c:numRef>
              <c:f>BodePlot_iLoop!$F$9:$F$48</c:f>
              <c:numCache>
                <c:formatCode>0.0</c:formatCode>
                <c:ptCount val="40"/>
                <c:pt idx="0">
                  <c:v>60.051991364387696</c:v>
                </c:pt>
                <c:pt idx="1">
                  <c:v>58.287285482034754</c:v>
                </c:pt>
                <c:pt idx="2">
                  <c:v>56.522579599681819</c:v>
                </c:pt>
                <c:pt idx="3">
                  <c:v>54.757873717328877</c:v>
                </c:pt>
                <c:pt idx="4">
                  <c:v>52.993167834975935</c:v>
                </c:pt>
                <c:pt idx="5">
                  <c:v>51.228461952622986</c:v>
                </c:pt>
                <c:pt idx="6">
                  <c:v>49.463756070270051</c:v>
                </c:pt>
                <c:pt idx="7">
                  <c:v>47.699050187917109</c:v>
                </c:pt>
                <c:pt idx="8">
                  <c:v>45.934344305564153</c:v>
                </c:pt>
                <c:pt idx="9">
                  <c:v>44.169638423211232</c:v>
                </c:pt>
                <c:pt idx="10">
                  <c:v>42.404932540858283</c:v>
                </c:pt>
                <c:pt idx="11">
                  <c:v>40.640226658505334</c:v>
                </c:pt>
                <c:pt idx="12">
                  <c:v>38.875520776152406</c:v>
                </c:pt>
                <c:pt idx="13">
                  <c:v>37.110814893799457</c:v>
                </c:pt>
                <c:pt idx="14">
                  <c:v>35.346109011446515</c:v>
                </c:pt>
                <c:pt idx="15">
                  <c:v>33.581403129093573</c:v>
                </c:pt>
                <c:pt idx="16">
                  <c:v>31.816697246740631</c:v>
                </c:pt>
                <c:pt idx="17">
                  <c:v>30.051991364387696</c:v>
                </c:pt>
                <c:pt idx="18">
                  <c:v>28.287285482034758</c:v>
                </c:pt>
                <c:pt idx="19">
                  <c:v>26.522579599681801</c:v>
                </c:pt>
                <c:pt idx="20">
                  <c:v>24.757873717328877</c:v>
                </c:pt>
                <c:pt idx="21">
                  <c:v>22.993167834975932</c:v>
                </c:pt>
                <c:pt idx="22">
                  <c:v>21.228461952622975</c:v>
                </c:pt>
                <c:pt idx="23">
                  <c:v>19.463756070270051</c:v>
                </c:pt>
                <c:pt idx="24">
                  <c:v>17.699050187917113</c:v>
                </c:pt>
                <c:pt idx="25">
                  <c:v>15.934344305564155</c:v>
                </c:pt>
                <c:pt idx="26">
                  <c:v>14.169638423211214</c:v>
                </c:pt>
                <c:pt idx="27">
                  <c:v>12.404932540858271</c:v>
                </c:pt>
                <c:pt idx="28">
                  <c:v>10.640226658505332</c:v>
                </c:pt>
                <c:pt idx="29">
                  <c:v>8.8755207761524044</c:v>
                </c:pt>
                <c:pt idx="30">
                  <c:v>7.1108148937994482</c:v>
                </c:pt>
                <c:pt idx="31">
                  <c:v>5.346109011446508</c:v>
                </c:pt>
                <c:pt idx="32">
                  <c:v>3.5814031290935677</c:v>
                </c:pt>
                <c:pt idx="33">
                  <c:v>1.8166972467406266</c:v>
                </c:pt>
                <c:pt idx="34">
                  <c:v>5.1991364387700356E-2</c:v>
                </c:pt>
                <c:pt idx="35">
                  <c:v>-1.712714517965241</c:v>
                </c:pt>
                <c:pt idx="36">
                  <c:v>-3.4774204003181968</c:v>
                </c:pt>
                <c:pt idx="37">
                  <c:v>-5.2421262826711548</c:v>
                </c:pt>
                <c:pt idx="38">
                  <c:v>-7.0068321650240808</c:v>
                </c:pt>
                <c:pt idx="39">
                  <c:v>-8.7715380473770228</c:v>
                </c:pt>
              </c:numCache>
            </c:numRef>
          </c:yVal>
          <c:smooth val="1"/>
        </c:ser>
        <c:ser>
          <c:idx val="1"/>
          <c:order val="1"/>
          <c:tx>
            <c:strRef>
              <c:f>BodePlot_iLoop!$N$7</c:f>
              <c:strCache>
                <c:ptCount val="1"/>
                <c:pt idx="0">
                  <c:v>Zicomp(s)*Gmi</c:v>
                </c:pt>
              </c:strCache>
            </c:strRef>
          </c:tx>
          <c:marker>
            <c:symbol val="none"/>
          </c:marker>
          <c:xVal>
            <c:numRef>
              <c:f>BodePlot_iLoop!$E$9:$E$48</c:f>
              <c:numCache>
                <c:formatCode>0</c:formatCode>
                <c:ptCount val="40"/>
                <c:pt idx="0">
                  <c:v>100</c:v>
                </c:pt>
                <c:pt idx="1">
                  <c:v>122.52798573828653</c:v>
                </c:pt>
                <c:pt idx="2">
                  <c:v>150.13107289081739</c:v>
                </c:pt>
                <c:pt idx="3">
                  <c:v>183.95257958039721</c:v>
                </c:pt>
                <c:pt idx="4">
                  <c:v>225.39339047347917</c:v>
                </c:pt>
                <c:pt idx="5">
                  <c:v>276.16998133438517</c:v>
                </c:pt>
                <c:pt idx="6">
                  <c:v>338.38551534282357</c:v>
                </c:pt>
                <c:pt idx="7">
                  <c:v>414.61695597968202</c:v>
                </c:pt>
                <c:pt idx="8">
                  <c:v>508.02180469130275</c:v>
                </c:pt>
                <c:pt idx="9">
                  <c:v>622.46888439954444</c:v>
                </c:pt>
                <c:pt idx="10">
                  <c:v>762.69858590234469</c:v>
                </c:pt>
                <c:pt idx="11">
                  <c:v>934.51921456053833</c:v>
                </c:pt>
                <c:pt idx="12">
                  <c:v>1145.0475699382821</c:v>
                </c:pt>
                <c:pt idx="13">
                  <c:v>1403.0037231905753</c:v>
                </c:pt>
                <c:pt idx="14">
                  <c:v>1719.0722018585766</c:v>
                </c:pt>
                <c:pt idx="15">
                  <c:v>2106.3445423241237</c:v>
                </c:pt>
                <c:pt idx="16">
                  <c:v>2580.8615404180778</c:v>
                </c:pt>
                <c:pt idx="17">
                  <c:v>3162.2776601683804</c:v>
                </c:pt>
                <c:pt idx="18">
                  <c:v>3874.6751204561324</c:v>
                </c:pt>
                <c:pt idx="19">
                  <c:v>4747.5613789974323</c:v>
                </c:pt>
                <c:pt idx="20">
                  <c:v>5817.0913293743606</c:v>
                </c:pt>
                <c:pt idx="21">
                  <c:v>7127.5648344389147</c:v>
                </c:pt>
                <c:pt idx="22">
                  <c:v>8733.2616238284518</c:v>
                </c:pt>
                <c:pt idx="23">
                  <c:v>10700.689556931751</c:v>
                </c:pt>
                <c:pt idx="24">
                  <c:v>13111.339374215646</c:v>
                </c:pt>
                <c:pt idx="25">
                  <c:v>16065.060038537315</c:v>
                </c:pt>
                <c:pt idx="26">
                  <c:v>19684.194472866158</c:v>
                </c:pt>
                <c:pt idx="27">
                  <c:v>24118.646996410022</c:v>
                </c:pt>
                <c:pt idx="28">
                  <c:v>29552.092352028933</c:v>
                </c:pt>
                <c:pt idx="29">
                  <c:v>36209.583502459194</c:v>
                </c:pt>
                <c:pt idx="30">
                  <c:v>44366.873309786206</c:v>
                </c:pt>
                <c:pt idx="31">
                  <c:v>54361.83620153847</c:v>
                </c:pt>
                <c:pt idx="32">
                  <c:v>66608.462908091708</c:v>
                </c:pt>
                <c:pt idx="33">
                  <c:v>81614.007932518449</c:v>
                </c:pt>
                <c:pt idx="34">
                  <c:v>100000</c:v>
                </c:pt>
                <c:pt idx="35">
                  <c:v>122527.9857382865</c:v>
                </c:pt>
                <c:pt idx="36">
                  <c:v>150131.07289081762</c:v>
                </c:pt>
                <c:pt idx="37">
                  <c:v>183952.57958039781</c:v>
                </c:pt>
                <c:pt idx="38">
                  <c:v>225393.39047347952</c:v>
                </c:pt>
                <c:pt idx="39">
                  <c:v>276169.98133438535</c:v>
                </c:pt>
              </c:numCache>
            </c:numRef>
          </c:xVal>
          <c:yVal>
            <c:numRef>
              <c:f>BodePlot_iLoop!$N$9:$N$48</c:f>
              <c:numCache>
                <c:formatCode>0.0</c:formatCode>
                <c:ptCount val="40"/>
                <c:pt idx="0">
                  <c:v>26.942730564064121</c:v>
                </c:pt>
                <c:pt idx="1">
                  <c:v>25.182857571867359</c:v>
                </c:pt>
                <c:pt idx="2">
                  <c:v>23.425397181808833</c:v>
                </c:pt>
                <c:pt idx="3">
                  <c:v>21.671546176254907</c:v>
                </c:pt>
                <c:pt idx="4">
                  <c:v>19.92308558755623</c:v>
                </c:pt>
                <c:pt idx="5">
                  <c:v>18.182654338137922</c:v>
                </c:pt>
                <c:pt idx="6">
                  <c:v>16.454136959427942</c:v>
                </c:pt>
                <c:pt idx="7">
                  <c:v>14.743195973366753</c:v>
                </c:pt>
                <c:pt idx="8">
                  <c:v>13.057966670095325</c:v>
                </c:pt>
                <c:pt idx="9">
                  <c:v>11.409888077423517</c:v>
                </c:pt>
                <c:pt idx="10">
                  <c:v>9.8145421590246968</c:v>
                </c:pt>
                <c:pt idx="11">
                  <c:v>8.2921887536222414</c:v>
                </c:pt>
                <c:pt idx="12">
                  <c:v>6.8674359163960759</c:v>
                </c:pt>
                <c:pt idx="13">
                  <c:v>5.5673222246443572</c:v>
                </c:pt>
                <c:pt idx="14">
                  <c:v>4.4173400112190961</c:v>
                </c:pt>
                <c:pt idx="15">
                  <c:v>3.4359068182202179</c:v>
                </c:pt>
                <c:pt idx="16">
                  <c:v>2.6291938357402813</c:v>
                </c:pt>
                <c:pt idx="17">
                  <c:v>1.9888077220909821</c:v>
                </c:pt>
                <c:pt idx="18">
                  <c:v>1.4935289808129681</c:v>
                </c:pt>
                <c:pt idx="19">
                  <c:v>1.1139346797805842</c:v>
                </c:pt>
                <c:pt idx="20">
                  <c:v>0.81737299879492298</c:v>
                </c:pt>
                <c:pt idx="21">
                  <c:v>0.57129816935376709</c:v>
                </c:pt>
                <c:pt idx="22">
                  <c:v>0.3444108005045905</c:v>
                </c:pt>
                <c:pt idx="23">
                  <c:v>0.10614393165735692</c:v>
                </c:pt>
                <c:pt idx="24">
                  <c:v>-0.17452161031546609</c:v>
                </c:pt>
                <c:pt idx="25">
                  <c:v>-0.52984199678880373</c:v>
                </c:pt>
                <c:pt idx="26">
                  <c:v>-0.99266994020554478</c:v>
                </c:pt>
                <c:pt idx="27">
                  <c:v>-1.5936812442977129</c:v>
                </c:pt>
                <c:pt idx="28">
                  <c:v>-2.3566823521822471</c:v>
                </c:pt>
                <c:pt idx="29">
                  <c:v>-3.2936492999368028</c:v>
                </c:pt>
                <c:pt idx="30">
                  <c:v>-4.4020571516815323</c:v>
                </c:pt>
                <c:pt idx="31">
                  <c:v>-5.6661883492077294</c:v>
                </c:pt>
                <c:pt idx="32">
                  <c:v>-7.0617981356107578</c:v>
                </c:pt>
                <c:pt idx="33">
                  <c:v>-8.5617830445192382</c:v>
                </c:pt>
                <c:pt idx="34">
                  <c:v>-10.140655906847229</c:v>
                </c:pt>
                <c:pt idx="35">
                  <c:v>-11.776968285029533</c:v>
                </c:pt>
                <c:pt idx="36">
                  <c:v>-13.453975395243162</c:v>
                </c:pt>
                <c:pt idx="37">
                  <c:v>-15.159258225972515</c:v>
                </c:pt>
                <c:pt idx="38">
                  <c:v>-16.883922883822713</c:v>
                </c:pt>
                <c:pt idx="39">
                  <c:v>-78.567370451547177</c:v>
                </c:pt>
              </c:numCache>
            </c:numRef>
          </c:yVal>
          <c:smooth val="1"/>
        </c:ser>
        <c:ser>
          <c:idx val="3"/>
          <c:order val="2"/>
          <c:tx>
            <c:strRef>
              <c:f>BodePlot_iLoop!$P$7</c:f>
              <c:strCache>
                <c:ptCount val="1"/>
                <c:pt idx="0">
                  <c:v>Gi*Gm</c:v>
                </c:pt>
              </c:strCache>
            </c:strRef>
          </c:tx>
          <c:marker>
            <c:symbol val="none"/>
          </c:marker>
          <c:xVal>
            <c:numRef>
              <c:f>BodePlot_iLoop!$E$9:$E$48</c:f>
              <c:numCache>
                <c:formatCode>0</c:formatCode>
                <c:ptCount val="40"/>
                <c:pt idx="0">
                  <c:v>100</c:v>
                </c:pt>
                <c:pt idx="1">
                  <c:v>122.52798573828653</c:v>
                </c:pt>
                <c:pt idx="2">
                  <c:v>150.13107289081739</c:v>
                </c:pt>
                <c:pt idx="3">
                  <c:v>183.95257958039721</c:v>
                </c:pt>
                <c:pt idx="4">
                  <c:v>225.39339047347917</c:v>
                </c:pt>
                <c:pt idx="5">
                  <c:v>276.16998133438517</c:v>
                </c:pt>
                <c:pt idx="6">
                  <c:v>338.38551534282357</c:v>
                </c:pt>
                <c:pt idx="7">
                  <c:v>414.61695597968202</c:v>
                </c:pt>
                <c:pt idx="8">
                  <c:v>508.02180469130275</c:v>
                </c:pt>
                <c:pt idx="9">
                  <c:v>622.46888439954444</c:v>
                </c:pt>
                <c:pt idx="10">
                  <c:v>762.69858590234469</c:v>
                </c:pt>
                <c:pt idx="11">
                  <c:v>934.51921456053833</c:v>
                </c:pt>
                <c:pt idx="12">
                  <c:v>1145.0475699382821</c:v>
                </c:pt>
                <c:pt idx="13">
                  <c:v>1403.0037231905753</c:v>
                </c:pt>
                <c:pt idx="14">
                  <c:v>1719.0722018585766</c:v>
                </c:pt>
                <c:pt idx="15">
                  <c:v>2106.3445423241237</c:v>
                </c:pt>
                <c:pt idx="16">
                  <c:v>2580.8615404180778</c:v>
                </c:pt>
                <c:pt idx="17">
                  <c:v>3162.2776601683804</c:v>
                </c:pt>
                <c:pt idx="18">
                  <c:v>3874.6751204561324</c:v>
                </c:pt>
                <c:pt idx="19">
                  <c:v>4747.5613789974323</c:v>
                </c:pt>
                <c:pt idx="20">
                  <c:v>5817.0913293743606</c:v>
                </c:pt>
                <c:pt idx="21">
                  <c:v>7127.5648344389147</c:v>
                </c:pt>
                <c:pt idx="22">
                  <c:v>8733.2616238284518</c:v>
                </c:pt>
                <c:pt idx="23">
                  <c:v>10700.689556931751</c:v>
                </c:pt>
                <c:pt idx="24">
                  <c:v>13111.339374215646</c:v>
                </c:pt>
                <c:pt idx="25">
                  <c:v>16065.060038537315</c:v>
                </c:pt>
                <c:pt idx="26">
                  <c:v>19684.194472866158</c:v>
                </c:pt>
                <c:pt idx="27">
                  <c:v>24118.646996410022</c:v>
                </c:pt>
                <c:pt idx="28">
                  <c:v>29552.092352028933</c:v>
                </c:pt>
                <c:pt idx="29">
                  <c:v>36209.583502459194</c:v>
                </c:pt>
                <c:pt idx="30">
                  <c:v>44366.873309786206</c:v>
                </c:pt>
                <c:pt idx="31">
                  <c:v>54361.83620153847</c:v>
                </c:pt>
                <c:pt idx="32">
                  <c:v>66608.462908091708</c:v>
                </c:pt>
                <c:pt idx="33">
                  <c:v>81614.007932518449</c:v>
                </c:pt>
                <c:pt idx="34">
                  <c:v>100000</c:v>
                </c:pt>
                <c:pt idx="35">
                  <c:v>122527.9857382865</c:v>
                </c:pt>
                <c:pt idx="36">
                  <c:v>150131.07289081762</c:v>
                </c:pt>
                <c:pt idx="37">
                  <c:v>183952.57958039781</c:v>
                </c:pt>
                <c:pt idx="38">
                  <c:v>225393.39047347952</c:v>
                </c:pt>
                <c:pt idx="39">
                  <c:v>276169.98133438535</c:v>
                </c:pt>
              </c:numCache>
            </c:numRef>
          </c:xVal>
          <c:yVal>
            <c:numRef>
              <c:f>BodePlot_iLoop!$P$9:$P$48</c:f>
              <c:numCache>
                <c:formatCode>0.0</c:formatCode>
                <c:ptCount val="40"/>
                <c:pt idx="0">
                  <c:v>-19.734006834044891</c:v>
                </c:pt>
                <c:pt idx="1">
                  <c:v>-19.734006834044891</c:v>
                </c:pt>
                <c:pt idx="2">
                  <c:v>-19.734006834044891</c:v>
                </c:pt>
                <c:pt idx="3">
                  <c:v>-19.734006834044891</c:v>
                </c:pt>
                <c:pt idx="4">
                  <c:v>-19.734006834044891</c:v>
                </c:pt>
                <c:pt idx="5">
                  <c:v>-19.734006834044891</c:v>
                </c:pt>
                <c:pt idx="6">
                  <c:v>-19.734006834044891</c:v>
                </c:pt>
                <c:pt idx="7">
                  <c:v>-19.734006834044891</c:v>
                </c:pt>
                <c:pt idx="8">
                  <c:v>-19.734006834044891</c:v>
                </c:pt>
                <c:pt idx="9">
                  <c:v>-19.734006834044891</c:v>
                </c:pt>
                <c:pt idx="10">
                  <c:v>-19.734006834044891</c:v>
                </c:pt>
                <c:pt idx="11">
                  <c:v>-19.734006834044891</c:v>
                </c:pt>
                <c:pt idx="12">
                  <c:v>-19.734006834044891</c:v>
                </c:pt>
                <c:pt idx="13">
                  <c:v>-19.734006834044891</c:v>
                </c:pt>
                <c:pt idx="14">
                  <c:v>-19.734006834044891</c:v>
                </c:pt>
                <c:pt idx="15">
                  <c:v>-19.734006834044891</c:v>
                </c:pt>
                <c:pt idx="16">
                  <c:v>-19.734006834044891</c:v>
                </c:pt>
                <c:pt idx="17">
                  <c:v>-19.734006834044891</c:v>
                </c:pt>
                <c:pt idx="18">
                  <c:v>-19.734006834044891</c:v>
                </c:pt>
                <c:pt idx="19">
                  <c:v>-19.734006834044891</c:v>
                </c:pt>
                <c:pt idx="20">
                  <c:v>-19.734006834044891</c:v>
                </c:pt>
                <c:pt idx="21">
                  <c:v>-19.734006834044891</c:v>
                </c:pt>
                <c:pt idx="22">
                  <c:v>-19.734006834044891</c:v>
                </c:pt>
                <c:pt idx="23">
                  <c:v>-19.734006834044891</c:v>
                </c:pt>
                <c:pt idx="24">
                  <c:v>-19.734006834044891</c:v>
                </c:pt>
                <c:pt idx="25">
                  <c:v>-19.734006834044891</c:v>
                </c:pt>
                <c:pt idx="26">
                  <c:v>-19.734006834044891</c:v>
                </c:pt>
                <c:pt idx="27">
                  <c:v>-19.734006834044891</c:v>
                </c:pt>
                <c:pt idx="28">
                  <c:v>-19.734006834044891</c:v>
                </c:pt>
                <c:pt idx="29">
                  <c:v>-19.734006834044891</c:v>
                </c:pt>
                <c:pt idx="30">
                  <c:v>-19.734006834044891</c:v>
                </c:pt>
                <c:pt idx="31">
                  <c:v>-19.734006834044891</c:v>
                </c:pt>
                <c:pt idx="32">
                  <c:v>-19.734006834044891</c:v>
                </c:pt>
                <c:pt idx="33">
                  <c:v>-19.734006834044891</c:v>
                </c:pt>
                <c:pt idx="34">
                  <c:v>-19.734006834044891</c:v>
                </c:pt>
                <c:pt idx="35">
                  <c:v>-19.734006834044891</c:v>
                </c:pt>
                <c:pt idx="36">
                  <c:v>-19.734006834044891</c:v>
                </c:pt>
                <c:pt idx="37">
                  <c:v>-19.734006834044891</c:v>
                </c:pt>
                <c:pt idx="38">
                  <c:v>-19.734006834044891</c:v>
                </c:pt>
                <c:pt idx="39">
                  <c:v>-19.734006834044891</c:v>
                </c:pt>
              </c:numCache>
            </c:numRef>
          </c:yVal>
          <c:smooth val="1"/>
        </c:ser>
        <c:ser>
          <c:idx val="2"/>
          <c:order val="3"/>
          <c:tx>
            <c:strRef>
              <c:f>BodePlot_iLoop!$Q$6</c:f>
              <c:strCache>
                <c:ptCount val="1"/>
                <c:pt idx="0">
                  <c:v>Giloop(s)</c:v>
                </c:pt>
              </c:strCache>
            </c:strRef>
          </c:tx>
          <c:marker>
            <c:symbol val="none"/>
          </c:marker>
          <c:xVal>
            <c:numRef>
              <c:f>BodePlot_iLoop!$E$9:$E$48</c:f>
              <c:numCache>
                <c:formatCode>0</c:formatCode>
                <c:ptCount val="40"/>
                <c:pt idx="0">
                  <c:v>100</c:v>
                </c:pt>
                <c:pt idx="1">
                  <c:v>122.52798573828653</c:v>
                </c:pt>
                <c:pt idx="2">
                  <c:v>150.13107289081739</c:v>
                </c:pt>
                <c:pt idx="3">
                  <c:v>183.95257958039721</c:v>
                </c:pt>
                <c:pt idx="4">
                  <c:v>225.39339047347917</c:v>
                </c:pt>
                <c:pt idx="5">
                  <c:v>276.16998133438517</c:v>
                </c:pt>
                <c:pt idx="6">
                  <c:v>338.38551534282357</c:v>
                </c:pt>
                <c:pt idx="7">
                  <c:v>414.61695597968202</c:v>
                </c:pt>
                <c:pt idx="8">
                  <c:v>508.02180469130275</c:v>
                </c:pt>
                <c:pt idx="9">
                  <c:v>622.46888439954444</c:v>
                </c:pt>
                <c:pt idx="10">
                  <c:v>762.69858590234469</c:v>
                </c:pt>
                <c:pt idx="11">
                  <c:v>934.51921456053833</c:v>
                </c:pt>
                <c:pt idx="12">
                  <c:v>1145.0475699382821</c:v>
                </c:pt>
                <c:pt idx="13">
                  <c:v>1403.0037231905753</c:v>
                </c:pt>
                <c:pt idx="14">
                  <c:v>1719.0722018585766</c:v>
                </c:pt>
                <c:pt idx="15">
                  <c:v>2106.3445423241237</c:v>
                </c:pt>
                <c:pt idx="16">
                  <c:v>2580.8615404180778</c:v>
                </c:pt>
                <c:pt idx="17">
                  <c:v>3162.2776601683804</c:v>
                </c:pt>
                <c:pt idx="18">
                  <c:v>3874.6751204561324</c:v>
                </c:pt>
                <c:pt idx="19">
                  <c:v>4747.5613789974323</c:v>
                </c:pt>
                <c:pt idx="20">
                  <c:v>5817.0913293743606</c:v>
                </c:pt>
                <c:pt idx="21">
                  <c:v>7127.5648344389147</c:v>
                </c:pt>
                <c:pt idx="22">
                  <c:v>8733.2616238284518</c:v>
                </c:pt>
                <c:pt idx="23">
                  <c:v>10700.689556931751</c:v>
                </c:pt>
                <c:pt idx="24">
                  <c:v>13111.339374215646</c:v>
                </c:pt>
                <c:pt idx="25">
                  <c:v>16065.060038537315</c:v>
                </c:pt>
                <c:pt idx="26">
                  <c:v>19684.194472866158</c:v>
                </c:pt>
                <c:pt idx="27">
                  <c:v>24118.646996410022</c:v>
                </c:pt>
                <c:pt idx="28">
                  <c:v>29552.092352028933</c:v>
                </c:pt>
                <c:pt idx="29">
                  <c:v>36209.583502459194</c:v>
                </c:pt>
                <c:pt idx="30">
                  <c:v>44366.873309786206</c:v>
                </c:pt>
                <c:pt idx="31">
                  <c:v>54361.83620153847</c:v>
                </c:pt>
                <c:pt idx="32">
                  <c:v>66608.462908091708</c:v>
                </c:pt>
                <c:pt idx="33">
                  <c:v>81614.007932518449</c:v>
                </c:pt>
                <c:pt idx="34">
                  <c:v>100000</c:v>
                </c:pt>
                <c:pt idx="35">
                  <c:v>122527.9857382865</c:v>
                </c:pt>
                <c:pt idx="36">
                  <c:v>150131.07289081762</c:v>
                </c:pt>
                <c:pt idx="37">
                  <c:v>183952.57958039781</c:v>
                </c:pt>
                <c:pt idx="38">
                  <c:v>225393.39047347952</c:v>
                </c:pt>
                <c:pt idx="39">
                  <c:v>276169.98133438535</c:v>
                </c:pt>
              </c:numCache>
            </c:numRef>
          </c:xVal>
          <c:yVal>
            <c:numRef>
              <c:f>BodePlot_iLoop!$Q$9:$Q$48</c:f>
              <c:numCache>
                <c:formatCode>0.0</c:formatCode>
                <c:ptCount val="40"/>
                <c:pt idx="0">
                  <c:v>67.260715094406919</c:v>
                </c:pt>
                <c:pt idx="1">
                  <c:v>63.736136219857229</c:v>
                </c:pt>
                <c:pt idx="2">
                  <c:v>60.213969947445761</c:v>
                </c:pt>
                <c:pt idx="3">
                  <c:v>56.695413059538893</c:v>
                </c:pt>
                <c:pt idx="4">
                  <c:v>53.182246588487274</c:v>
                </c:pt>
                <c:pt idx="5">
                  <c:v>49.677109456716011</c:v>
                </c:pt>
                <c:pt idx="6">
                  <c:v>46.183886195653102</c:v>
                </c:pt>
                <c:pt idx="7">
                  <c:v>42.708239327238971</c:v>
                </c:pt>
                <c:pt idx="8">
                  <c:v>39.258304141614587</c:v>
                </c:pt>
                <c:pt idx="9">
                  <c:v>35.845519666589858</c:v>
                </c:pt>
                <c:pt idx="10">
                  <c:v>32.485467865838089</c:v>
                </c:pt>
                <c:pt idx="11">
                  <c:v>29.198408578082685</c:v>
                </c:pt>
                <c:pt idx="12">
                  <c:v>26.008949858503591</c:v>
                </c:pt>
                <c:pt idx="13">
                  <c:v>22.944130284398923</c:v>
                </c:pt>
                <c:pt idx="14">
                  <c:v>20.02944218862072</c:v>
                </c:pt>
                <c:pt idx="15">
                  <c:v>17.2833031132689</c:v>
                </c:pt>
                <c:pt idx="16">
                  <c:v>14.711884248436021</c:v>
                </c:pt>
                <c:pt idx="17">
                  <c:v>12.306792252433787</c:v>
                </c:pt>
                <c:pt idx="18">
                  <c:v>10.046807628802835</c:v>
                </c:pt>
                <c:pt idx="19">
                  <c:v>7.9025074454174948</c:v>
                </c:pt>
                <c:pt idx="20">
                  <c:v>5.8412398820789093</c:v>
                </c:pt>
                <c:pt idx="21">
                  <c:v>3.8304591702848079</c:v>
                </c:pt>
                <c:pt idx="22">
                  <c:v>1.838865919082675</c:v>
                </c:pt>
                <c:pt idx="23">
                  <c:v>-0.16410683211748278</c:v>
                </c:pt>
                <c:pt idx="24">
                  <c:v>-2.2094782564432442</c:v>
                </c:pt>
                <c:pt idx="25">
                  <c:v>-4.3295045252695399</c:v>
                </c:pt>
                <c:pt idx="26">
                  <c:v>-6.5570383510392212</c:v>
                </c:pt>
                <c:pt idx="27">
                  <c:v>-8.922755537484333</c:v>
                </c:pt>
                <c:pt idx="28">
                  <c:v>-11.450462527721806</c:v>
                </c:pt>
                <c:pt idx="29">
                  <c:v>-14.152135357829289</c:v>
                </c:pt>
                <c:pt idx="30">
                  <c:v>-17.025249091926973</c:v>
                </c:pt>
                <c:pt idx="31">
                  <c:v>-20.054086171806112</c:v>
                </c:pt>
                <c:pt idx="32">
                  <c:v>-23.214401840562083</c:v>
                </c:pt>
                <c:pt idx="33">
                  <c:v>-26.479092631823502</c:v>
                </c:pt>
                <c:pt idx="34">
                  <c:v>-29.82267137650442</c:v>
                </c:pt>
                <c:pt idx="35">
                  <c:v>-33.223689637039662</c:v>
                </c:pt>
                <c:pt idx="36">
                  <c:v>-36.665402629606248</c:v>
                </c:pt>
                <c:pt idx="37">
                  <c:v>-40.135391342688564</c:v>
                </c:pt>
                <c:pt idx="38">
                  <c:v>-43.624761882891683</c:v>
                </c:pt>
                <c:pt idx="39">
                  <c:v>-107.07291533296909</c:v>
                </c:pt>
              </c:numCache>
            </c:numRef>
          </c:yVal>
          <c:smooth val="1"/>
        </c:ser>
        <c:axId val="158827648"/>
        <c:axId val="158829184"/>
      </c:scatterChart>
      <c:valAx>
        <c:axId val="158827648"/>
        <c:scaling>
          <c:logBase val="10"/>
          <c:orientation val="minMax"/>
          <c:max val="100000"/>
          <c:min val="100"/>
        </c:scaling>
        <c:axPos val="b"/>
        <c:minorGridlines/>
        <c:numFmt formatCode="#,##0_);[Red]\(#,##0\)" sourceLinked="0"/>
        <c:tickLblPos val="nextTo"/>
        <c:crossAx val="158829184"/>
        <c:crossesAt val="-100"/>
        <c:crossBetween val="midCat"/>
      </c:valAx>
      <c:valAx>
        <c:axId val="158829184"/>
        <c:scaling>
          <c:orientation val="minMax"/>
          <c:max val="80"/>
          <c:min val="-100"/>
        </c:scaling>
        <c:axPos val="l"/>
        <c:majorGridlines/>
        <c:title>
          <c:tx>
            <c:rich>
              <a:bodyPr rot="-5400000" vert="horz"/>
              <a:lstStyle/>
              <a:p>
                <a:pPr>
                  <a:defRPr/>
                </a:pPr>
                <a:r>
                  <a:rPr lang="en-US" altLang="en-US"/>
                  <a:t>Gain (dB)</a:t>
                </a:r>
              </a:p>
            </c:rich>
          </c:tx>
          <c:layout/>
        </c:title>
        <c:numFmt formatCode="General" sourceLinked="0"/>
        <c:tickLblPos val="nextTo"/>
        <c:spPr>
          <a:noFill/>
        </c:spPr>
        <c:crossAx val="158827648"/>
        <c:crossesAt val="1"/>
        <c:crossBetween val="midCat"/>
      </c:valAx>
      <c:spPr>
        <a:noFill/>
        <a:ln w="25400">
          <a:noFill/>
        </a:ln>
      </c:spPr>
    </c:plotArea>
    <c:legend>
      <c:legendPos val="r"/>
      <c:layout>
        <c:manualLayout>
          <c:xMode val="edge"/>
          <c:yMode val="edge"/>
          <c:x val="0.51518486364366267"/>
          <c:y val="0.54928174702784549"/>
          <c:w val="0.24044752811143075"/>
          <c:h val="0.21931866017783994"/>
        </c:manualLayout>
      </c:layout>
      <c:spPr>
        <a:solidFill>
          <a:schemeClr val="bg1"/>
        </a:solidFill>
        <a:ln>
          <a:solidFill>
            <a:schemeClr val="accent1"/>
          </a:solidFill>
        </a:ln>
      </c:spPr>
    </c:legend>
    <c:plotVisOnly val="1"/>
    <c:dispBlanksAs val="gap"/>
  </c:chart>
  <c:printSettings>
    <c:headerFooter/>
    <c:pageMargins b="0.75000000000000244" l="0.70000000000000062" r="0.70000000000000062" t="0.750000000000002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3296152210222795"/>
          <c:y val="0.1618118387375492"/>
          <c:w val="0.7380539610936282"/>
          <c:h val="0.60346391483673156"/>
        </c:manualLayout>
      </c:layout>
      <c:scatterChart>
        <c:scatterStyle val="smoothMarker"/>
        <c:ser>
          <c:idx val="0"/>
          <c:order val="0"/>
          <c:tx>
            <c:strRef>
              <c:f>BodePlot_iLoop!$F$6</c:f>
              <c:strCache>
                <c:ptCount val="1"/>
                <c:pt idx="0">
                  <c:v>Gid(s)</c:v>
                </c:pt>
              </c:strCache>
            </c:strRef>
          </c:tx>
          <c:marker>
            <c:symbol val="none"/>
          </c:marker>
          <c:xVal>
            <c:numRef>
              <c:f>BodePlot_iLoop!$E$9:$E$48</c:f>
              <c:numCache>
                <c:formatCode>0</c:formatCode>
                <c:ptCount val="40"/>
                <c:pt idx="0">
                  <c:v>100</c:v>
                </c:pt>
                <c:pt idx="1">
                  <c:v>122.52798573828653</c:v>
                </c:pt>
                <c:pt idx="2">
                  <c:v>150.13107289081739</c:v>
                </c:pt>
                <c:pt idx="3">
                  <c:v>183.95257958039721</c:v>
                </c:pt>
                <c:pt idx="4">
                  <c:v>225.39339047347917</c:v>
                </c:pt>
                <c:pt idx="5">
                  <c:v>276.16998133438517</c:v>
                </c:pt>
                <c:pt idx="6">
                  <c:v>338.38551534282357</c:v>
                </c:pt>
                <c:pt idx="7">
                  <c:v>414.61695597968202</c:v>
                </c:pt>
                <c:pt idx="8">
                  <c:v>508.02180469130275</c:v>
                </c:pt>
                <c:pt idx="9">
                  <c:v>622.46888439954444</c:v>
                </c:pt>
                <c:pt idx="10">
                  <c:v>762.69858590234469</c:v>
                </c:pt>
                <c:pt idx="11">
                  <c:v>934.51921456053833</c:v>
                </c:pt>
                <c:pt idx="12">
                  <c:v>1145.0475699382821</c:v>
                </c:pt>
                <c:pt idx="13">
                  <c:v>1403.0037231905753</c:v>
                </c:pt>
                <c:pt idx="14">
                  <c:v>1719.0722018585766</c:v>
                </c:pt>
                <c:pt idx="15">
                  <c:v>2106.3445423241237</c:v>
                </c:pt>
                <c:pt idx="16">
                  <c:v>2580.8615404180778</c:v>
                </c:pt>
                <c:pt idx="17">
                  <c:v>3162.2776601683804</c:v>
                </c:pt>
                <c:pt idx="18">
                  <c:v>3874.6751204561324</c:v>
                </c:pt>
                <c:pt idx="19">
                  <c:v>4747.5613789974323</c:v>
                </c:pt>
                <c:pt idx="20">
                  <c:v>5817.0913293743606</c:v>
                </c:pt>
                <c:pt idx="21">
                  <c:v>7127.5648344389147</c:v>
                </c:pt>
                <c:pt idx="22">
                  <c:v>8733.2616238284518</c:v>
                </c:pt>
                <c:pt idx="23">
                  <c:v>10700.689556931751</c:v>
                </c:pt>
                <c:pt idx="24">
                  <c:v>13111.339374215646</c:v>
                </c:pt>
                <c:pt idx="25">
                  <c:v>16065.060038537315</c:v>
                </c:pt>
                <c:pt idx="26">
                  <c:v>19684.194472866158</c:v>
                </c:pt>
                <c:pt idx="27">
                  <c:v>24118.646996410022</c:v>
                </c:pt>
                <c:pt idx="28">
                  <c:v>29552.092352028933</c:v>
                </c:pt>
                <c:pt idx="29">
                  <c:v>36209.583502459194</c:v>
                </c:pt>
                <c:pt idx="30">
                  <c:v>44366.873309786206</c:v>
                </c:pt>
                <c:pt idx="31">
                  <c:v>54361.83620153847</c:v>
                </c:pt>
                <c:pt idx="32">
                  <c:v>66608.462908091708</c:v>
                </c:pt>
                <c:pt idx="33">
                  <c:v>81614.007932518449</c:v>
                </c:pt>
                <c:pt idx="34">
                  <c:v>100000</c:v>
                </c:pt>
                <c:pt idx="35">
                  <c:v>122527.9857382865</c:v>
                </c:pt>
                <c:pt idx="36">
                  <c:v>150131.07289081762</c:v>
                </c:pt>
                <c:pt idx="37">
                  <c:v>183952.57958039781</c:v>
                </c:pt>
                <c:pt idx="38">
                  <c:v>225393.39047347952</c:v>
                </c:pt>
                <c:pt idx="39">
                  <c:v>276169.98133438535</c:v>
                </c:pt>
              </c:numCache>
            </c:numRef>
          </c:xVal>
          <c:yVal>
            <c:numRef>
              <c:f>BodePlot_iLoop!$G$9:$G$48</c:f>
              <c:numCache>
                <c:formatCode>0</c:formatCode>
                <c:ptCount val="40"/>
                <c:pt idx="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pt idx="16">
                  <c:v>-90</c:v>
                </c:pt>
                <c:pt idx="17">
                  <c:v>-90</c:v>
                </c:pt>
                <c:pt idx="18">
                  <c:v>-90</c:v>
                </c:pt>
                <c:pt idx="19">
                  <c:v>-90</c:v>
                </c:pt>
                <c:pt idx="20">
                  <c:v>-90</c:v>
                </c:pt>
                <c:pt idx="21">
                  <c:v>-90</c:v>
                </c:pt>
                <c:pt idx="22">
                  <c:v>-90</c:v>
                </c:pt>
                <c:pt idx="23">
                  <c:v>-90</c:v>
                </c:pt>
                <c:pt idx="24">
                  <c:v>-90</c:v>
                </c:pt>
                <c:pt idx="25">
                  <c:v>-90</c:v>
                </c:pt>
                <c:pt idx="26">
                  <c:v>-90</c:v>
                </c:pt>
                <c:pt idx="27">
                  <c:v>-90</c:v>
                </c:pt>
                <c:pt idx="28">
                  <c:v>-90</c:v>
                </c:pt>
                <c:pt idx="29">
                  <c:v>-90</c:v>
                </c:pt>
                <c:pt idx="30">
                  <c:v>-90</c:v>
                </c:pt>
                <c:pt idx="31">
                  <c:v>-90</c:v>
                </c:pt>
                <c:pt idx="32">
                  <c:v>-90</c:v>
                </c:pt>
                <c:pt idx="33">
                  <c:v>-90</c:v>
                </c:pt>
                <c:pt idx="34">
                  <c:v>-90</c:v>
                </c:pt>
                <c:pt idx="35">
                  <c:v>-90</c:v>
                </c:pt>
                <c:pt idx="36">
                  <c:v>-90</c:v>
                </c:pt>
                <c:pt idx="37">
                  <c:v>-90</c:v>
                </c:pt>
                <c:pt idx="38">
                  <c:v>-90</c:v>
                </c:pt>
                <c:pt idx="39">
                  <c:v>-90</c:v>
                </c:pt>
              </c:numCache>
            </c:numRef>
          </c:yVal>
          <c:smooth val="1"/>
        </c:ser>
        <c:ser>
          <c:idx val="1"/>
          <c:order val="1"/>
          <c:tx>
            <c:strRef>
              <c:f>BodePlot_iLoop!$N$7</c:f>
              <c:strCache>
                <c:ptCount val="1"/>
                <c:pt idx="0">
                  <c:v>Zicomp(s)*Gmi</c:v>
                </c:pt>
              </c:strCache>
            </c:strRef>
          </c:tx>
          <c:marker>
            <c:symbol val="none"/>
          </c:marker>
          <c:xVal>
            <c:numRef>
              <c:f>BodePlot_iLoop!$E$9:$E$48</c:f>
              <c:numCache>
                <c:formatCode>0</c:formatCode>
                <c:ptCount val="40"/>
                <c:pt idx="0">
                  <c:v>100</c:v>
                </c:pt>
                <c:pt idx="1">
                  <c:v>122.52798573828653</c:v>
                </c:pt>
                <c:pt idx="2">
                  <c:v>150.13107289081739</c:v>
                </c:pt>
                <c:pt idx="3">
                  <c:v>183.95257958039721</c:v>
                </c:pt>
                <c:pt idx="4">
                  <c:v>225.39339047347917</c:v>
                </c:pt>
                <c:pt idx="5">
                  <c:v>276.16998133438517</c:v>
                </c:pt>
                <c:pt idx="6">
                  <c:v>338.38551534282357</c:v>
                </c:pt>
                <c:pt idx="7">
                  <c:v>414.61695597968202</c:v>
                </c:pt>
                <c:pt idx="8">
                  <c:v>508.02180469130275</c:v>
                </c:pt>
                <c:pt idx="9">
                  <c:v>622.46888439954444</c:v>
                </c:pt>
                <c:pt idx="10">
                  <c:v>762.69858590234469</c:v>
                </c:pt>
                <c:pt idx="11">
                  <c:v>934.51921456053833</c:v>
                </c:pt>
                <c:pt idx="12">
                  <c:v>1145.0475699382821</c:v>
                </c:pt>
                <c:pt idx="13">
                  <c:v>1403.0037231905753</c:v>
                </c:pt>
                <c:pt idx="14">
                  <c:v>1719.0722018585766</c:v>
                </c:pt>
                <c:pt idx="15">
                  <c:v>2106.3445423241237</c:v>
                </c:pt>
                <c:pt idx="16">
                  <c:v>2580.8615404180778</c:v>
                </c:pt>
                <c:pt idx="17">
                  <c:v>3162.2776601683804</c:v>
                </c:pt>
                <c:pt idx="18">
                  <c:v>3874.6751204561324</c:v>
                </c:pt>
                <c:pt idx="19">
                  <c:v>4747.5613789974323</c:v>
                </c:pt>
                <c:pt idx="20">
                  <c:v>5817.0913293743606</c:v>
                </c:pt>
                <c:pt idx="21">
                  <c:v>7127.5648344389147</c:v>
                </c:pt>
                <c:pt idx="22">
                  <c:v>8733.2616238284518</c:v>
                </c:pt>
                <c:pt idx="23">
                  <c:v>10700.689556931751</c:v>
                </c:pt>
                <c:pt idx="24">
                  <c:v>13111.339374215646</c:v>
                </c:pt>
                <c:pt idx="25">
                  <c:v>16065.060038537315</c:v>
                </c:pt>
                <c:pt idx="26">
                  <c:v>19684.194472866158</c:v>
                </c:pt>
                <c:pt idx="27">
                  <c:v>24118.646996410022</c:v>
                </c:pt>
                <c:pt idx="28">
                  <c:v>29552.092352028933</c:v>
                </c:pt>
                <c:pt idx="29">
                  <c:v>36209.583502459194</c:v>
                </c:pt>
                <c:pt idx="30">
                  <c:v>44366.873309786206</c:v>
                </c:pt>
                <c:pt idx="31">
                  <c:v>54361.83620153847</c:v>
                </c:pt>
                <c:pt idx="32">
                  <c:v>66608.462908091708</c:v>
                </c:pt>
                <c:pt idx="33">
                  <c:v>81614.007932518449</c:v>
                </c:pt>
                <c:pt idx="34">
                  <c:v>100000</c:v>
                </c:pt>
                <c:pt idx="35">
                  <c:v>122527.9857382865</c:v>
                </c:pt>
                <c:pt idx="36">
                  <c:v>150131.07289081762</c:v>
                </c:pt>
                <c:pt idx="37">
                  <c:v>183952.57958039781</c:v>
                </c:pt>
                <c:pt idx="38">
                  <c:v>225393.39047347952</c:v>
                </c:pt>
                <c:pt idx="39">
                  <c:v>276169.98133438535</c:v>
                </c:pt>
              </c:numCache>
            </c:numRef>
          </c:xVal>
          <c:yVal>
            <c:numRef>
              <c:f>BodePlot_iLoop!$O$9:$O$48</c:f>
              <c:numCache>
                <c:formatCode>0.0</c:formatCode>
                <c:ptCount val="40"/>
                <c:pt idx="0">
                  <c:v>-87.477258674770283</c:v>
                </c:pt>
                <c:pt idx="1">
                  <c:v>-86.910172069979467</c:v>
                </c:pt>
                <c:pt idx="2">
                  <c:v>-86.216366287139834</c:v>
                </c:pt>
                <c:pt idx="3">
                  <c:v>-85.368155452471811</c:v>
                </c:pt>
                <c:pt idx="4">
                  <c:v>-84.332328159234066</c:v>
                </c:pt>
                <c:pt idx="5">
                  <c:v>-83.069479917717629</c:v>
                </c:pt>
                <c:pt idx="6">
                  <c:v>-81.533645576354928</c:v>
                </c:pt>
                <c:pt idx="7">
                  <c:v>-79.672620591953546</c:v>
                </c:pt>
                <c:pt idx="8">
                  <c:v>-77.429627766180275</c:v>
                </c:pt>
                <c:pt idx="9">
                  <c:v>-74.747336688998828</c:v>
                </c:pt>
                <c:pt idx="10">
                  <c:v>-71.575563132979994</c:v>
                </c:pt>
                <c:pt idx="11">
                  <c:v>-67.883918523788509</c:v>
                </c:pt>
                <c:pt idx="12">
                  <c:v>-63.679557991264275</c:v>
                </c:pt>
                <c:pt idx="13">
                  <c:v>-59.02719901637758</c:v>
                </c:pt>
                <c:pt idx="14">
                  <c:v>-54.063987104938064</c:v>
                </c:pt>
                <c:pt idx="15">
                  <c:v>-48.998608201207965</c:v>
                </c:pt>
                <c:pt idx="16">
                  <c:v>-44.087676649286301</c:v>
                </c:pt>
                <c:pt idx="17">
                  <c:v>-39.594502546845845</c:v>
                </c:pt>
                <c:pt idx="18">
                  <c:v>-35.747438280959187</c:v>
                </c:pt>
                <c:pt idx="19">
                  <c:v>-32.715194552661188</c:v>
                </c:pt>
                <c:pt idx="20">
                  <c:v>-30.604477216235118</c:v>
                </c:pt>
                <c:pt idx="21">
                  <c:v>-29.472726295117347</c:v>
                </c:pt>
                <c:pt idx="22">
                  <c:v>-29.344413343472695</c:v>
                </c:pt>
                <c:pt idx="23">
                  <c:v>-30.222020955202517</c:v>
                </c:pt>
                <c:pt idx="24">
                  <c:v>-32.087376405380937</c:v>
                </c:pt>
                <c:pt idx="25">
                  <c:v>-34.892886204988777</c:v>
                </c:pt>
                <c:pt idx="26">
                  <c:v>-38.545932425234234</c:v>
                </c:pt>
                <c:pt idx="27">
                  <c:v>-42.894158527909589</c:v>
                </c:pt>
                <c:pt idx="28">
                  <c:v>-47.722966295910339</c:v>
                </c:pt>
                <c:pt idx="29">
                  <c:v>-52.774430554240482</c:v>
                </c:pt>
                <c:pt idx="30">
                  <c:v>-57.785947152965115</c:v>
                </c:pt>
                <c:pt idx="31">
                  <c:v>-62.533482409016585</c:v>
                </c:pt>
                <c:pt idx="32">
                  <c:v>-66.86074226553427</c:v>
                </c:pt>
                <c:pt idx="33">
                  <c:v>-70.68554347559855</c:v>
                </c:pt>
                <c:pt idx="34">
                  <c:v>-73.987937573658854</c:v>
                </c:pt>
                <c:pt idx="35">
                  <c:v>-76.790610218115674</c:v>
                </c:pt>
                <c:pt idx="36">
                  <c:v>-79.140121372770139</c:v>
                </c:pt>
                <c:pt idx="37">
                  <c:v>-81.092890594564409</c:v>
                </c:pt>
                <c:pt idx="38">
                  <c:v>-82.706338606789586</c:v>
                </c:pt>
                <c:pt idx="39">
                  <c:v>-84.034065252431532</c:v>
                </c:pt>
              </c:numCache>
            </c:numRef>
          </c:yVal>
          <c:smooth val="1"/>
        </c:ser>
        <c:ser>
          <c:idx val="2"/>
          <c:order val="2"/>
          <c:tx>
            <c:strRef>
              <c:f>BodePlot_iLoop!$Q$6</c:f>
              <c:strCache>
                <c:ptCount val="1"/>
                <c:pt idx="0">
                  <c:v>Giloop(s)</c:v>
                </c:pt>
              </c:strCache>
            </c:strRef>
          </c:tx>
          <c:marker>
            <c:symbol val="none"/>
          </c:marker>
          <c:xVal>
            <c:numRef>
              <c:f>BodePlot_iLoop!$E$9:$E$48</c:f>
              <c:numCache>
                <c:formatCode>0</c:formatCode>
                <c:ptCount val="40"/>
                <c:pt idx="0">
                  <c:v>100</c:v>
                </c:pt>
                <c:pt idx="1">
                  <c:v>122.52798573828653</c:v>
                </c:pt>
                <c:pt idx="2">
                  <c:v>150.13107289081739</c:v>
                </c:pt>
                <c:pt idx="3">
                  <c:v>183.95257958039721</c:v>
                </c:pt>
                <c:pt idx="4">
                  <c:v>225.39339047347917</c:v>
                </c:pt>
                <c:pt idx="5">
                  <c:v>276.16998133438517</c:v>
                </c:pt>
                <c:pt idx="6">
                  <c:v>338.38551534282357</c:v>
                </c:pt>
                <c:pt idx="7">
                  <c:v>414.61695597968202</c:v>
                </c:pt>
                <c:pt idx="8">
                  <c:v>508.02180469130275</c:v>
                </c:pt>
                <c:pt idx="9">
                  <c:v>622.46888439954444</c:v>
                </c:pt>
                <c:pt idx="10">
                  <c:v>762.69858590234469</c:v>
                </c:pt>
                <c:pt idx="11">
                  <c:v>934.51921456053833</c:v>
                </c:pt>
                <c:pt idx="12">
                  <c:v>1145.0475699382821</c:v>
                </c:pt>
                <c:pt idx="13">
                  <c:v>1403.0037231905753</c:v>
                </c:pt>
                <c:pt idx="14">
                  <c:v>1719.0722018585766</c:v>
                </c:pt>
                <c:pt idx="15">
                  <c:v>2106.3445423241237</c:v>
                </c:pt>
                <c:pt idx="16">
                  <c:v>2580.8615404180778</c:v>
                </c:pt>
                <c:pt idx="17">
                  <c:v>3162.2776601683804</c:v>
                </c:pt>
                <c:pt idx="18">
                  <c:v>3874.6751204561324</c:v>
                </c:pt>
                <c:pt idx="19">
                  <c:v>4747.5613789974323</c:v>
                </c:pt>
                <c:pt idx="20">
                  <c:v>5817.0913293743606</c:v>
                </c:pt>
                <c:pt idx="21">
                  <c:v>7127.5648344389147</c:v>
                </c:pt>
                <c:pt idx="22">
                  <c:v>8733.2616238284518</c:v>
                </c:pt>
                <c:pt idx="23">
                  <c:v>10700.689556931751</c:v>
                </c:pt>
                <c:pt idx="24">
                  <c:v>13111.339374215646</c:v>
                </c:pt>
                <c:pt idx="25">
                  <c:v>16065.060038537315</c:v>
                </c:pt>
                <c:pt idx="26">
                  <c:v>19684.194472866158</c:v>
                </c:pt>
                <c:pt idx="27">
                  <c:v>24118.646996410022</c:v>
                </c:pt>
                <c:pt idx="28">
                  <c:v>29552.092352028933</c:v>
                </c:pt>
                <c:pt idx="29">
                  <c:v>36209.583502459194</c:v>
                </c:pt>
                <c:pt idx="30">
                  <c:v>44366.873309786206</c:v>
                </c:pt>
                <c:pt idx="31">
                  <c:v>54361.83620153847</c:v>
                </c:pt>
                <c:pt idx="32">
                  <c:v>66608.462908091708</c:v>
                </c:pt>
                <c:pt idx="33">
                  <c:v>81614.007932518449</c:v>
                </c:pt>
                <c:pt idx="34">
                  <c:v>100000</c:v>
                </c:pt>
                <c:pt idx="35">
                  <c:v>122527.9857382865</c:v>
                </c:pt>
                <c:pt idx="36">
                  <c:v>150131.07289081762</c:v>
                </c:pt>
                <c:pt idx="37">
                  <c:v>183952.57958039781</c:v>
                </c:pt>
                <c:pt idx="38">
                  <c:v>225393.39047347952</c:v>
                </c:pt>
                <c:pt idx="39">
                  <c:v>276169.98133438535</c:v>
                </c:pt>
              </c:numCache>
            </c:numRef>
          </c:xVal>
          <c:yVal>
            <c:numRef>
              <c:f>BodePlot_iLoop!$R$9:$R$48</c:f>
              <c:numCache>
                <c:formatCode>0.0</c:formatCode>
                <c:ptCount val="40"/>
                <c:pt idx="0">
                  <c:v>-177.47725867477027</c:v>
                </c:pt>
                <c:pt idx="1">
                  <c:v>-176.91017206997947</c:v>
                </c:pt>
                <c:pt idx="2">
                  <c:v>-176.21636628713983</c:v>
                </c:pt>
                <c:pt idx="3">
                  <c:v>-175.3681554524718</c:v>
                </c:pt>
                <c:pt idx="4">
                  <c:v>-174.33232815923407</c:v>
                </c:pt>
                <c:pt idx="5">
                  <c:v>-173.06947991771762</c:v>
                </c:pt>
                <c:pt idx="6">
                  <c:v>-171.53364557635493</c:v>
                </c:pt>
                <c:pt idx="7">
                  <c:v>-169.67262059195355</c:v>
                </c:pt>
                <c:pt idx="8">
                  <c:v>-167.42962776618026</c:v>
                </c:pt>
                <c:pt idx="9">
                  <c:v>-164.74733668899881</c:v>
                </c:pt>
                <c:pt idx="10">
                  <c:v>-161.57556313297999</c:v>
                </c:pt>
                <c:pt idx="11">
                  <c:v>-157.88391852378851</c:v>
                </c:pt>
                <c:pt idx="12">
                  <c:v>-153.67955799126429</c:v>
                </c:pt>
                <c:pt idx="13">
                  <c:v>-149.02719901637758</c:v>
                </c:pt>
                <c:pt idx="14">
                  <c:v>-144.06398710493806</c:v>
                </c:pt>
                <c:pt idx="15">
                  <c:v>-138.99860820120796</c:v>
                </c:pt>
                <c:pt idx="16">
                  <c:v>-134.08767664928629</c:v>
                </c:pt>
                <c:pt idx="17">
                  <c:v>-129.59450254684583</c:v>
                </c:pt>
                <c:pt idx="18">
                  <c:v>-125.74743828095919</c:v>
                </c:pt>
                <c:pt idx="19">
                  <c:v>-122.71519455266119</c:v>
                </c:pt>
                <c:pt idx="20">
                  <c:v>-120.60447721623513</c:v>
                </c:pt>
                <c:pt idx="21">
                  <c:v>-119.47272629511735</c:v>
                </c:pt>
                <c:pt idx="22">
                  <c:v>-119.3444133434727</c:v>
                </c:pt>
                <c:pt idx="23">
                  <c:v>-120.22202095520251</c:v>
                </c:pt>
                <c:pt idx="24">
                  <c:v>-122.08737640538094</c:v>
                </c:pt>
                <c:pt idx="25">
                  <c:v>-124.89288620498877</c:v>
                </c:pt>
                <c:pt idx="26">
                  <c:v>-128.54593242523424</c:v>
                </c:pt>
                <c:pt idx="27">
                  <c:v>-132.89415852790958</c:v>
                </c:pt>
                <c:pt idx="28">
                  <c:v>-137.72296629591034</c:v>
                </c:pt>
                <c:pt idx="29">
                  <c:v>-142.7744305542405</c:v>
                </c:pt>
                <c:pt idx="30">
                  <c:v>-147.78594715296512</c:v>
                </c:pt>
                <c:pt idx="31">
                  <c:v>-152.53348240901659</c:v>
                </c:pt>
                <c:pt idx="32">
                  <c:v>-156.86074226553427</c:v>
                </c:pt>
                <c:pt idx="33">
                  <c:v>-160.68554347559854</c:v>
                </c:pt>
                <c:pt idx="34">
                  <c:v>-163.98793757365885</c:v>
                </c:pt>
                <c:pt idx="35">
                  <c:v>-166.79061021811566</c:v>
                </c:pt>
                <c:pt idx="36">
                  <c:v>-169.14012137277012</c:v>
                </c:pt>
                <c:pt idx="37">
                  <c:v>-171.09289059456441</c:v>
                </c:pt>
                <c:pt idx="38">
                  <c:v>-172.70633860678959</c:v>
                </c:pt>
                <c:pt idx="39">
                  <c:v>-174.03406525243153</c:v>
                </c:pt>
              </c:numCache>
            </c:numRef>
          </c:yVal>
          <c:smooth val="1"/>
        </c:ser>
        <c:axId val="160511488"/>
        <c:axId val="160513408"/>
      </c:scatterChart>
      <c:valAx>
        <c:axId val="160511488"/>
        <c:scaling>
          <c:logBase val="10"/>
          <c:orientation val="minMax"/>
          <c:max val="100000"/>
          <c:min val="100"/>
        </c:scaling>
        <c:axPos val="b"/>
        <c:minorGridlines/>
        <c:title>
          <c:tx>
            <c:rich>
              <a:bodyPr/>
              <a:lstStyle/>
              <a:p>
                <a:pPr>
                  <a:defRPr/>
                </a:pPr>
                <a:r>
                  <a:rPr lang="en-US" altLang="en-US"/>
                  <a:t>Frequency</a:t>
                </a:r>
                <a:r>
                  <a:rPr lang="en-US" altLang="en-US" baseline="0"/>
                  <a:t> (Hz)</a:t>
                </a:r>
                <a:endParaRPr lang="en-US" altLang="en-US"/>
              </a:p>
            </c:rich>
          </c:tx>
          <c:layout/>
        </c:title>
        <c:numFmt formatCode="#,##0_);[Red]\(#,##0\)" sourceLinked="0"/>
        <c:tickLblPos val="nextTo"/>
        <c:txPr>
          <a:bodyPr rot="0" vert="horz"/>
          <a:lstStyle/>
          <a:p>
            <a:pPr>
              <a:defRPr sz="1000" b="0" i="0" u="none" strike="noStrike" baseline="0">
                <a:solidFill>
                  <a:srgbClr val="000000"/>
                </a:solidFill>
                <a:latin typeface="+mn-lt"/>
                <a:ea typeface="宋体"/>
                <a:cs typeface="宋体"/>
              </a:defRPr>
            </a:pPr>
            <a:endParaRPr lang="en-US"/>
          </a:p>
        </c:txPr>
        <c:crossAx val="160513408"/>
        <c:crossesAt val="-280"/>
        <c:crossBetween val="midCat"/>
      </c:valAx>
      <c:valAx>
        <c:axId val="160513408"/>
        <c:scaling>
          <c:orientation val="minMax"/>
          <c:max val="0"/>
          <c:min val="-180"/>
        </c:scaling>
        <c:axPos val="l"/>
        <c:majorGridlines/>
        <c:title>
          <c:tx>
            <c:rich>
              <a:bodyPr rot="-5400000" vert="horz"/>
              <a:lstStyle/>
              <a:p>
                <a:pPr>
                  <a:defRPr/>
                </a:pPr>
                <a:r>
                  <a:rPr lang="en-US" altLang="en-US"/>
                  <a:t>Phase(Deg)</a:t>
                </a:r>
              </a:p>
            </c:rich>
          </c:tx>
          <c:layout/>
        </c:title>
        <c:numFmt formatCode="General" sourceLinked="0"/>
        <c:tickLblPos val="nextTo"/>
        <c:spPr>
          <a:noFill/>
        </c:spPr>
        <c:crossAx val="160511488"/>
        <c:crossesAt val="1"/>
        <c:crossBetween val="midCat"/>
        <c:majorUnit val="30"/>
        <c:minorUnit val="10"/>
      </c:valAx>
      <c:spPr>
        <a:ln>
          <a:noFill/>
        </a:ln>
      </c:spPr>
    </c:plotArea>
    <c:legend>
      <c:legendPos val="r"/>
      <c:layout>
        <c:manualLayout>
          <c:xMode val="edge"/>
          <c:yMode val="edge"/>
          <c:x val="0.47800266744400788"/>
          <c:y val="0.31495769550545394"/>
          <c:w val="0.25678068010000432"/>
          <c:h val="0.22463246442020834"/>
        </c:manualLayout>
      </c:layout>
      <c:spPr>
        <a:solidFill>
          <a:schemeClr val="bg1"/>
        </a:solidFill>
        <a:ln>
          <a:solidFill>
            <a:srgbClr val="4F81BD"/>
          </a:solidFill>
        </a:ln>
      </c:spPr>
    </c:legend>
    <c:plotVisOnly val="1"/>
    <c:dispBlanksAs val="gap"/>
  </c:chart>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ltLang="en-US"/>
              <a:t>Bode Plot of Voltage Loop</a:t>
            </a:r>
          </a:p>
        </c:rich>
      </c:tx>
      <c:layout>
        <c:manualLayout>
          <c:xMode val="edge"/>
          <c:yMode val="edge"/>
          <c:x val="0.12772218952324896"/>
          <c:y val="3.72501014692753E-2"/>
        </c:manualLayout>
      </c:layout>
    </c:title>
    <c:plotArea>
      <c:layout>
        <c:manualLayout>
          <c:layoutTarget val="inner"/>
          <c:xMode val="edge"/>
          <c:yMode val="edge"/>
          <c:x val="0.12505629763689491"/>
          <c:y val="0.17423419898599704"/>
          <c:w val="0.7380539610936282"/>
          <c:h val="0.60346391483673156"/>
        </c:manualLayout>
      </c:layout>
      <c:scatterChart>
        <c:scatterStyle val="smoothMarker"/>
        <c:ser>
          <c:idx val="0"/>
          <c:order val="0"/>
          <c:tx>
            <c:strRef>
              <c:f>BodePlot_vLoop!$F$6</c:f>
              <c:strCache>
                <c:ptCount val="1"/>
                <c:pt idx="0">
                  <c:v>Gps(s)</c:v>
                </c:pt>
              </c:strCache>
            </c:strRef>
          </c:tx>
          <c:marker>
            <c:symbol val="none"/>
          </c:marker>
          <c:xVal>
            <c:numRef>
              <c:f>BodePlot_vLoop!$E$9:$E$48</c:f>
              <c:numCache>
                <c:formatCode>0.0</c:formatCode>
                <c:ptCount val="40"/>
                <c:pt idx="0">
                  <c:v>1</c:v>
                </c:pt>
                <c:pt idx="1">
                  <c:v>1.1937766417144364</c:v>
                </c:pt>
                <c:pt idx="2">
                  <c:v>1.4251026703029981</c:v>
                </c:pt>
                <c:pt idx="3">
                  <c:v>1.7012542798525891</c:v>
                </c:pt>
                <c:pt idx="4">
                  <c:v>2.0309176209047357</c:v>
                </c:pt>
                <c:pt idx="5">
                  <c:v>2.424462017082329</c:v>
                </c:pt>
                <c:pt idx="6">
                  <c:v>2.8942661247167512</c:v>
                </c:pt>
                <c:pt idx="7">
                  <c:v>3.4551072945922203</c:v>
                </c:pt>
                <c:pt idx="8">
                  <c:v>4.1246263829013525</c:v>
                </c:pt>
                <c:pt idx="9">
                  <c:v>4.9238826317067392</c:v>
                </c:pt>
                <c:pt idx="10">
                  <c:v>5.8780160722749146</c:v>
                </c:pt>
                <c:pt idx="11">
                  <c:v>7.0170382867038308</c:v>
                </c:pt>
                <c:pt idx="12">
                  <c:v>8.3767764006829211</c:v>
                </c:pt>
                <c:pt idx="13">
                  <c:v>10</c:v>
                </c:pt>
                <c:pt idx="14">
                  <c:v>11.937766417144372</c:v>
                </c:pt>
                <c:pt idx="15">
                  <c:v>14.251026703029988</c:v>
                </c:pt>
                <c:pt idx="16">
                  <c:v>17.012542798525896</c:v>
                </c:pt>
                <c:pt idx="17">
                  <c:v>20.309176209047362</c:v>
                </c:pt>
                <c:pt idx="18">
                  <c:v>24.244620170823286</c:v>
                </c:pt>
                <c:pt idx="19">
                  <c:v>28.942661247167532</c:v>
                </c:pt>
                <c:pt idx="20">
                  <c:v>34.551072945922215</c:v>
                </c:pt>
                <c:pt idx="21">
                  <c:v>41.246263829013543</c:v>
                </c:pt>
                <c:pt idx="22">
                  <c:v>49.238826317067435</c:v>
                </c:pt>
                <c:pt idx="23">
                  <c:v>58.780160722749173</c:v>
                </c:pt>
                <c:pt idx="24">
                  <c:v>70.170382867038327</c:v>
                </c:pt>
                <c:pt idx="25">
                  <c:v>83.767764006829239</c:v>
                </c:pt>
                <c:pt idx="26">
                  <c:v>100</c:v>
                </c:pt>
                <c:pt idx="27">
                  <c:v>119.3776641714438</c:v>
                </c:pt>
                <c:pt idx="28">
                  <c:v>142.51026703029996</c:v>
                </c:pt>
                <c:pt idx="29">
                  <c:v>170.12542798525905</c:v>
                </c:pt>
                <c:pt idx="30">
                  <c:v>203.09176209047374</c:v>
                </c:pt>
                <c:pt idx="31">
                  <c:v>242.44620170823302</c:v>
                </c:pt>
                <c:pt idx="32">
                  <c:v>289.42661247167524</c:v>
                </c:pt>
                <c:pt idx="33">
                  <c:v>345.51072945922243</c:v>
                </c:pt>
                <c:pt idx="34">
                  <c:v>412.46263829013532</c:v>
                </c:pt>
                <c:pt idx="35">
                  <c:v>492.38826317067446</c:v>
                </c:pt>
                <c:pt idx="36">
                  <c:v>587.80160722749133</c:v>
                </c:pt>
                <c:pt idx="37">
                  <c:v>701.70382867038347</c:v>
                </c:pt>
                <c:pt idx="38">
                  <c:v>837.67764006829327</c:v>
                </c:pt>
                <c:pt idx="39">
                  <c:v>1000</c:v>
                </c:pt>
              </c:numCache>
            </c:numRef>
          </c:xVal>
          <c:yVal>
            <c:numRef>
              <c:f>BodePlot_vLoop!$F$9:$F$48</c:f>
              <c:numCache>
                <c:formatCode>0.0</c:formatCode>
                <c:ptCount val="40"/>
                <c:pt idx="0">
                  <c:v>49.697648108269384</c:v>
                </c:pt>
                <c:pt idx="1">
                  <c:v>48.159186569807851</c:v>
                </c:pt>
                <c:pt idx="2">
                  <c:v>46.620725031346311</c:v>
                </c:pt>
                <c:pt idx="3">
                  <c:v>45.082263492884771</c:v>
                </c:pt>
                <c:pt idx="4">
                  <c:v>43.543801954423238</c:v>
                </c:pt>
                <c:pt idx="5">
                  <c:v>42.005340415961697</c:v>
                </c:pt>
                <c:pt idx="6">
                  <c:v>40.46687887750015</c:v>
                </c:pt>
                <c:pt idx="7">
                  <c:v>38.928417339038617</c:v>
                </c:pt>
                <c:pt idx="8">
                  <c:v>37.389955800577077</c:v>
                </c:pt>
                <c:pt idx="9">
                  <c:v>35.851494262115544</c:v>
                </c:pt>
                <c:pt idx="10">
                  <c:v>34.313032723653997</c:v>
                </c:pt>
                <c:pt idx="11">
                  <c:v>32.774571185192457</c:v>
                </c:pt>
                <c:pt idx="12">
                  <c:v>31.236109646730924</c:v>
                </c:pt>
                <c:pt idx="13">
                  <c:v>29.697648108269391</c:v>
                </c:pt>
                <c:pt idx="14">
                  <c:v>28.159186569807844</c:v>
                </c:pt>
                <c:pt idx="15">
                  <c:v>26.620725031346307</c:v>
                </c:pt>
                <c:pt idx="16">
                  <c:v>25.082263492884771</c:v>
                </c:pt>
                <c:pt idx="17">
                  <c:v>23.54380195442323</c:v>
                </c:pt>
                <c:pt idx="18">
                  <c:v>22.005340415961694</c:v>
                </c:pt>
                <c:pt idx="19">
                  <c:v>20.46687887750015</c:v>
                </c:pt>
                <c:pt idx="20">
                  <c:v>18.928417339038614</c:v>
                </c:pt>
                <c:pt idx="21">
                  <c:v>17.389955800577074</c:v>
                </c:pt>
                <c:pt idx="22">
                  <c:v>15.851494262115535</c:v>
                </c:pt>
                <c:pt idx="23">
                  <c:v>14.313032723653995</c:v>
                </c:pt>
                <c:pt idx="24">
                  <c:v>12.774571185192459</c:v>
                </c:pt>
                <c:pt idx="25">
                  <c:v>11.23610964673092</c:v>
                </c:pt>
                <c:pt idx="26">
                  <c:v>9.6976481082693873</c:v>
                </c:pt>
                <c:pt idx="27">
                  <c:v>8.1591865698078383</c:v>
                </c:pt>
                <c:pt idx="28">
                  <c:v>6.6207250313463017</c:v>
                </c:pt>
                <c:pt idx="29">
                  <c:v>5.0822634928847643</c:v>
                </c:pt>
                <c:pt idx="30">
                  <c:v>3.5438019544232269</c:v>
                </c:pt>
                <c:pt idx="31">
                  <c:v>2.0053404159616899</c:v>
                </c:pt>
                <c:pt idx="32">
                  <c:v>0.46687887750015211</c:v>
                </c:pt>
                <c:pt idx="33">
                  <c:v>-1.0715826609613941</c:v>
                </c:pt>
                <c:pt idx="34">
                  <c:v>-2.6100441994229233</c:v>
                </c:pt>
                <c:pt idx="35">
                  <c:v>-4.1485057378844674</c:v>
                </c:pt>
                <c:pt idx="36">
                  <c:v>-5.6869672763459977</c:v>
                </c:pt>
                <c:pt idx="37">
                  <c:v>-7.2254288148075432</c:v>
                </c:pt>
                <c:pt idx="38">
                  <c:v>-8.7638903532690886</c:v>
                </c:pt>
                <c:pt idx="39">
                  <c:v>-10.302351891730613</c:v>
                </c:pt>
              </c:numCache>
            </c:numRef>
          </c:yVal>
          <c:smooth val="1"/>
        </c:ser>
        <c:ser>
          <c:idx val="1"/>
          <c:order val="1"/>
          <c:tx>
            <c:strRef>
              <c:f>BodePlot_vLoop!$N$7</c:f>
              <c:strCache>
                <c:ptCount val="1"/>
                <c:pt idx="0">
                  <c:v>Zcomp(s)*Gmv</c:v>
                </c:pt>
              </c:strCache>
            </c:strRef>
          </c:tx>
          <c:marker>
            <c:symbol val="none"/>
          </c:marker>
          <c:xVal>
            <c:numRef>
              <c:f>BodePlot_vLoop!$E$9:$E$48</c:f>
              <c:numCache>
                <c:formatCode>0.0</c:formatCode>
                <c:ptCount val="40"/>
                <c:pt idx="0">
                  <c:v>1</c:v>
                </c:pt>
                <c:pt idx="1">
                  <c:v>1.1937766417144364</c:v>
                </c:pt>
                <c:pt idx="2">
                  <c:v>1.4251026703029981</c:v>
                </c:pt>
                <c:pt idx="3">
                  <c:v>1.7012542798525891</c:v>
                </c:pt>
                <c:pt idx="4">
                  <c:v>2.0309176209047357</c:v>
                </c:pt>
                <c:pt idx="5">
                  <c:v>2.424462017082329</c:v>
                </c:pt>
                <c:pt idx="6">
                  <c:v>2.8942661247167512</c:v>
                </c:pt>
                <c:pt idx="7">
                  <c:v>3.4551072945922203</c:v>
                </c:pt>
                <c:pt idx="8">
                  <c:v>4.1246263829013525</c:v>
                </c:pt>
                <c:pt idx="9">
                  <c:v>4.9238826317067392</c:v>
                </c:pt>
                <c:pt idx="10">
                  <c:v>5.8780160722749146</c:v>
                </c:pt>
                <c:pt idx="11">
                  <c:v>7.0170382867038308</c:v>
                </c:pt>
                <c:pt idx="12">
                  <c:v>8.3767764006829211</c:v>
                </c:pt>
                <c:pt idx="13">
                  <c:v>10</c:v>
                </c:pt>
                <c:pt idx="14">
                  <c:v>11.937766417144372</c:v>
                </c:pt>
                <c:pt idx="15">
                  <c:v>14.251026703029988</c:v>
                </c:pt>
                <c:pt idx="16">
                  <c:v>17.012542798525896</c:v>
                </c:pt>
                <c:pt idx="17">
                  <c:v>20.309176209047362</c:v>
                </c:pt>
                <c:pt idx="18">
                  <c:v>24.244620170823286</c:v>
                </c:pt>
                <c:pt idx="19">
                  <c:v>28.942661247167532</c:v>
                </c:pt>
                <c:pt idx="20">
                  <c:v>34.551072945922215</c:v>
                </c:pt>
                <c:pt idx="21">
                  <c:v>41.246263829013543</c:v>
                </c:pt>
                <c:pt idx="22">
                  <c:v>49.238826317067435</c:v>
                </c:pt>
                <c:pt idx="23">
                  <c:v>58.780160722749173</c:v>
                </c:pt>
                <c:pt idx="24">
                  <c:v>70.170382867038327</c:v>
                </c:pt>
                <c:pt idx="25">
                  <c:v>83.767764006829239</c:v>
                </c:pt>
                <c:pt idx="26">
                  <c:v>100</c:v>
                </c:pt>
                <c:pt idx="27">
                  <c:v>119.3776641714438</c:v>
                </c:pt>
                <c:pt idx="28">
                  <c:v>142.51026703029996</c:v>
                </c:pt>
                <c:pt idx="29">
                  <c:v>170.12542798525905</c:v>
                </c:pt>
                <c:pt idx="30">
                  <c:v>203.09176209047374</c:v>
                </c:pt>
                <c:pt idx="31">
                  <c:v>242.44620170823302</c:v>
                </c:pt>
                <c:pt idx="32">
                  <c:v>289.42661247167524</c:v>
                </c:pt>
                <c:pt idx="33">
                  <c:v>345.51072945922243</c:v>
                </c:pt>
                <c:pt idx="34">
                  <c:v>412.46263829013532</c:v>
                </c:pt>
                <c:pt idx="35">
                  <c:v>492.38826317067446</c:v>
                </c:pt>
                <c:pt idx="36">
                  <c:v>587.80160722749133</c:v>
                </c:pt>
                <c:pt idx="37">
                  <c:v>701.70382867038347</c:v>
                </c:pt>
                <c:pt idx="38">
                  <c:v>837.67764006829327</c:v>
                </c:pt>
                <c:pt idx="39">
                  <c:v>1000</c:v>
                </c:pt>
              </c:numCache>
            </c:numRef>
          </c:xVal>
          <c:yVal>
            <c:numRef>
              <c:f>BodePlot_vLoop!$N$9:$N$48</c:f>
              <c:numCache>
                <c:formatCode>0.0</c:formatCode>
                <c:ptCount val="40"/>
                <c:pt idx="0">
                  <c:v>16.359670835000927</c:v>
                </c:pt>
                <c:pt idx="1">
                  <c:v>15.544850866179203</c:v>
                </c:pt>
                <c:pt idx="2">
                  <c:v>14.863460168344275</c:v>
                </c:pt>
                <c:pt idx="3">
                  <c:v>14.309006013026917</c:v>
                </c:pt>
                <c:pt idx="4">
                  <c:v>13.86778171607277</c:v>
                </c:pt>
                <c:pt idx="5">
                  <c:v>13.521311166206104</c:v>
                </c:pt>
                <c:pt idx="6">
                  <c:v>13.249016156329475</c:v>
                </c:pt>
                <c:pt idx="7">
                  <c:v>13.030253943551216</c:v>
                </c:pt>
                <c:pt idx="8">
                  <c:v>12.845368155787497</c:v>
                </c:pt>
                <c:pt idx="9">
                  <c:v>12.675829633553832</c:v>
                </c:pt>
                <c:pt idx="10">
                  <c:v>12.503757504471636</c:v>
                </c:pt>
                <c:pt idx="11">
                  <c:v>12.311157775039888</c:v>
                </c:pt>
                <c:pt idx="12">
                  <c:v>12.079208410174431</c:v>
                </c:pt>
                <c:pt idx="13">
                  <c:v>11.787922639842989</c:v>
                </c:pt>
                <c:pt idx="14">
                  <c:v>11.416524591323764</c:v>
                </c:pt>
                <c:pt idx="15">
                  <c:v>10.944788373428025</c:v>
                </c:pt>
                <c:pt idx="16">
                  <c:v>10.355314395378798</c:v>
                </c:pt>
                <c:pt idx="17">
                  <c:v>9.6362374514203992</c:v>
                </c:pt>
                <c:pt idx="18">
                  <c:v>8.7834128587815457</c:v>
                </c:pt>
                <c:pt idx="19">
                  <c:v>7.8011123135902665</c:v>
                </c:pt>
                <c:pt idx="20">
                  <c:v>6.7008613689135927</c:v>
                </c:pt>
                <c:pt idx="21">
                  <c:v>5.4989094855115468</c:v>
                </c:pt>
                <c:pt idx="22">
                  <c:v>4.2133272244399791</c:v>
                </c:pt>
                <c:pt idx="23">
                  <c:v>2.8616103633052887</c:v>
                </c:pt>
                <c:pt idx="24">
                  <c:v>1.4591923704683012</c:v>
                </c:pt>
                <c:pt idx="25">
                  <c:v>1.8822430725521144E-2</c:v>
                </c:pt>
                <c:pt idx="26">
                  <c:v>-1.449450986277725</c:v>
                </c:pt>
                <c:pt idx="27">
                  <c:v>-2.9379702811113049</c:v>
                </c:pt>
                <c:pt idx="28">
                  <c:v>-4.4410386757894855</c:v>
                </c:pt>
                <c:pt idx="29">
                  <c:v>-5.9544901793899072</c:v>
                </c:pt>
                <c:pt idx="30">
                  <c:v>-7.4753151043526316</c:v>
                </c:pt>
                <c:pt idx="31">
                  <c:v>-9.0013577726336536</c:v>
                </c:pt>
                <c:pt idx="32">
                  <c:v>-10.531083548152154</c:v>
                </c:pt>
                <c:pt idx="33">
                  <c:v>-12.063404589677191</c:v>
                </c:pt>
                <c:pt idx="34">
                  <c:v>-13.597552093713887</c:v>
                </c:pt>
                <c:pt idx="35">
                  <c:v>-15.132983880012347</c:v>
                </c:pt>
                <c:pt idx="36">
                  <c:v>-16.669318158703817</c:v>
                </c:pt>
                <c:pt idx="37">
                  <c:v>-18.206286364335199</c:v>
                </c:pt>
                <c:pt idx="38">
                  <c:v>-19.743699716726724</c:v>
                </c:pt>
                <c:pt idx="39">
                  <c:v>-21.281425586930027</c:v>
                </c:pt>
              </c:numCache>
            </c:numRef>
          </c:yVal>
          <c:smooth val="1"/>
        </c:ser>
        <c:ser>
          <c:idx val="3"/>
          <c:order val="2"/>
          <c:tx>
            <c:strRef>
              <c:f>BodePlot_vLoop!$P$7</c:f>
              <c:strCache>
                <c:ptCount val="1"/>
                <c:pt idx="0">
                  <c:v>Gdiv</c:v>
                </c:pt>
              </c:strCache>
            </c:strRef>
          </c:tx>
          <c:marker>
            <c:symbol val="none"/>
          </c:marker>
          <c:xVal>
            <c:numRef>
              <c:f>BodePlot_vLoop!$E$9:$E$48</c:f>
              <c:numCache>
                <c:formatCode>0.0</c:formatCode>
                <c:ptCount val="40"/>
                <c:pt idx="0">
                  <c:v>1</c:v>
                </c:pt>
                <c:pt idx="1">
                  <c:v>1.1937766417144364</c:v>
                </c:pt>
                <c:pt idx="2">
                  <c:v>1.4251026703029981</c:v>
                </c:pt>
                <c:pt idx="3">
                  <c:v>1.7012542798525891</c:v>
                </c:pt>
                <c:pt idx="4">
                  <c:v>2.0309176209047357</c:v>
                </c:pt>
                <c:pt idx="5">
                  <c:v>2.424462017082329</c:v>
                </c:pt>
                <c:pt idx="6">
                  <c:v>2.8942661247167512</c:v>
                </c:pt>
                <c:pt idx="7">
                  <c:v>3.4551072945922203</c:v>
                </c:pt>
                <c:pt idx="8">
                  <c:v>4.1246263829013525</c:v>
                </c:pt>
                <c:pt idx="9">
                  <c:v>4.9238826317067392</c:v>
                </c:pt>
                <c:pt idx="10">
                  <c:v>5.8780160722749146</c:v>
                </c:pt>
                <c:pt idx="11">
                  <c:v>7.0170382867038308</c:v>
                </c:pt>
                <c:pt idx="12">
                  <c:v>8.3767764006829211</c:v>
                </c:pt>
                <c:pt idx="13">
                  <c:v>10</c:v>
                </c:pt>
                <c:pt idx="14">
                  <c:v>11.937766417144372</c:v>
                </c:pt>
                <c:pt idx="15">
                  <c:v>14.251026703029988</c:v>
                </c:pt>
                <c:pt idx="16">
                  <c:v>17.012542798525896</c:v>
                </c:pt>
                <c:pt idx="17">
                  <c:v>20.309176209047362</c:v>
                </c:pt>
                <c:pt idx="18">
                  <c:v>24.244620170823286</c:v>
                </c:pt>
                <c:pt idx="19">
                  <c:v>28.942661247167532</c:v>
                </c:pt>
                <c:pt idx="20">
                  <c:v>34.551072945922215</c:v>
                </c:pt>
                <c:pt idx="21">
                  <c:v>41.246263829013543</c:v>
                </c:pt>
                <c:pt idx="22">
                  <c:v>49.238826317067435</c:v>
                </c:pt>
                <c:pt idx="23">
                  <c:v>58.780160722749173</c:v>
                </c:pt>
                <c:pt idx="24">
                  <c:v>70.170382867038327</c:v>
                </c:pt>
                <c:pt idx="25">
                  <c:v>83.767764006829239</c:v>
                </c:pt>
                <c:pt idx="26">
                  <c:v>100</c:v>
                </c:pt>
                <c:pt idx="27">
                  <c:v>119.3776641714438</c:v>
                </c:pt>
                <c:pt idx="28">
                  <c:v>142.51026703029996</c:v>
                </c:pt>
                <c:pt idx="29">
                  <c:v>170.12542798525905</c:v>
                </c:pt>
                <c:pt idx="30">
                  <c:v>203.09176209047374</c:v>
                </c:pt>
                <c:pt idx="31">
                  <c:v>242.44620170823302</c:v>
                </c:pt>
                <c:pt idx="32">
                  <c:v>289.42661247167524</c:v>
                </c:pt>
                <c:pt idx="33">
                  <c:v>345.51072945922243</c:v>
                </c:pt>
                <c:pt idx="34">
                  <c:v>412.46263829013532</c:v>
                </c:pt>
                <c:pt idx="35">
                  <c:v>492.38826317067446</c:v>
                </c:pt>
                <c:pt idx="36">
                  <c:v>587.80160722749133</c:v>
                </c:pt>
                <c:pt idx="37">
                  <c:v>701.70382867038347</c:v>
                </c:pt>
                <c:pt idx="38">
                  <c:v>837.67764006829327</c:v>
                </c:pt>
                <c:pt idx="39">
                  <c:v>1000</c:v>
                </c:pt>
              </c:numCache>
            </c:numRef>
          </c:xVal>
          <c:yVal>
            <c:numRef>
              <c:f>BodePlot_vLoop!$P$9:$P$48</c:f>
              <c:numCache>
                <c:formatCode>0.0</c:formatCode>
                <c:ptCount val="40"/>
                <c:pt idx="0">
                  <c:v>-43.862491967089234</c:v>
                </c:pt>
                <c:pt idx="1">
                  <c:v>-43.862491967089234</c:v>
                </c:pt>
                <c:pt idx="2">
                  <c:v>-43.862491967089234</c:v>
                </c:pt>
                <c:pt idx="3">
                  <c:v>-43.862491967089234</c:v>
                </c:pt>
                <c:pt idx="4">
                  <c:v>-43.862491967089234</c:v>
                </c:pt>
                <c:pt idx="5">
                  <c:v>-43.862491967089234</c:v>
                </c:pt>
                <c:pt idx="6">
                  <c:v>-43.862491967089234</c:v>
                </c:pt>
                <c:pt idx="7">
                  <c:v>-43.862491967089234</c:v>
                </c:pt>
                <c:pt idx="8">
                  <c:v>-43.862491967089234</c:v>
                </c:pt>
                <c:pt idx="9">
                  <c:v>-43.862491967089234</c:v>
                </c:pt>
                <c:pt idx="10">
                  <c:v>-43.862491967089234</c:v>
                </c:pt>
                <c:pt idx="11">
                  <c:v>-43.862491967089234</c:v>
                </c:pt>
                <c:pt idx="12">
                  <c:v>-43.862491967089234</c:v>
                </c:pt>
                <c:pt idx="13">
                  <c:v>-43.862491967089234</c:v>
                </c:pt>
                <c:pt idx="14">
                  <c:v>-43.862491967089234</c:v>
                </c:pt>
                <c:pt idx="15">
                  <c:v>-43.862491967089234</c:v>
                </c:pt>
                <c:pt idx="16">
                  <c:v>-43.862491967089234</c:v>
                </c:pt>
                <c:pt idx="17">
                  <c:v>-43.862491967089234</c:v>
                </c:pt>
                <c:pt idx="18">
                  <c:v>-43.862491967089234</c:v>
                </c:pt>
                <c:pt idx="19">
                  <c:v>-43.862491967089234</c:v>
                </c:pt>
                <c:pt idx="20">
                  <c:v>-43.862491967089234</c:v>
                </c:pt>
                <c:pt idx="21">
                  <c:v>-43.862491967089234</c:v>
                </c:pt>
                <c:pt idx="22">
                  <c:v>-43.862491967089234</c:v>
                </c:pt>
                <c:pt idx="23">
                  <c:v>-43.862491967089234</c:v>
                </c:pt>
                <c:pt idx="24">
                  <c:v>-43.862491967089234</c:v>
                </c:pt>
                <c:pt idx="25">
                  <c:v>-43.862491967089234</c:v>
                </c:pt>
                <c:pt idx="26">
                  <c:v>-43.862491967089234</c:v>
                </c:pt>
                <c:pt idx="27">
                  <c:v>-43.862491967089234</c:v>
                </c:pt>
                <c:pt idx="28">
                  <c:v>-43.862491967089234</c:v>
                </c:pt>
                <c:pt idx="29">
                  <c:v>-43.862491967089234</c:v>
                </c:pt>
                <c:pt idx="30">
                  <c:v>-43.862491967089234</c:v>
                </c:pt>
                <c:pt idx="31">
                  <c:v>-43.862491967089234</c:v>
                </c:pt>
                <c:pt idx="32">
                  <c:v>-43.862491967089234</c:v>
                </c:pt>
                <c:pt idx="33">
                  <c:v>-43.862491967089234</c:v>
                </c:pt>
                <c:pt idx="34">
                  <c:v>-43.862491967089234</c:v>
                </c:pt>
                <c:pt idx="35">
                  <c:v>-43.862491967089234</c:v>
                </c:pt>
                <c:pt idx="36">
                  <c:v>-43.862491967089234</c:v>
                </c:pt>
                <c:pt idx="37">
                  <c:v>-43.862491967089234</c:v>
                </c:pt>
                <c:pt idx="38">
                  <c:v>-43.862491967089234</c:v>
                </c:pt>
                <c:pt idx="39">
                  <c:v>-43.862491967089234</c:v>
                </c:pt>
              </c:numCache>
            </c:numRef>
          </c:yVal>
          <c:smooth val="1"/>
        </c:ser>
        <c:ser>
          <c:idx val="2"/>
          <c:order val="3"/>
          <c:tx>
            <c:strRef>
              <c:f>BodePlot_vLoop!$Q$6</c:f>
              <c:strCache>
                <c:ptCount val="1"/>
                <c:pt idx="0">
                  <c:v>Gvloop(s)</c:v>
                </c:pt>
              </c:strCache>
            </c:strRef>
          </c:tx>
          <c:marker>
            <c:symbol val="none"/>
          </c:marker>
          <c:xVal>
            <c:numRef>
              <c:f>BodePlot_vLoop!$E$9:$E$48</c:f>
              <c:numCache>
                <c:formatCode>0.0</c:formatCode>
                <c:ptCount val="40"/>
                <c:pt idx="0">
                  <c:v>1</c:v>
                </c:pt>
                <c:pt idx="1">
                  <c:v>1.1937766417144364</c:v>
                </c:pt>
                <c:pt idx="2">
                  <c:v>1.4251026703029981</c:v>
                </c:pt>
                <c:pt idx="3">
                  <c:v>1.7012542798525891</c:v>
                </c:pt>
                <c:pt idx="4">
                  <c:v>2.0309176209047357</c:v>
                </c:pt>
                <c:pt idx="5">
                  <c:v>2.424462017082329</c:v>
                </c:pt>
                <c:pt idx="6">
                  <c:v>2.8942661247167512</c:v>
                </c:pt>
                <c:pt idx="7">
                  <c:v>3.4551072945922203</c:v>
                </c:pt>
                <c:pt idx="8">
                  <c:v>4.1246263829013525</c:v>
                </c:pt>
                <c:pt idx="9">
                  <c:v>4.9238826317067392</c:v>
                </c:pt>
                <c:pt idx="10">
                  <c:v>5.8780160722749146</c:v>
                </c:pt>
                <c:pt idx="11">
                  <c:v>7.0170382867038308</c:v>
                </c:pt>
                <c:pt idx="12">
                  <c:v>8.3767764006829211</c:v>
                </c:pt>
                <c:pt idx="13">
                  <c:v>10</c:v>
                </c:pt>
                <c:pt idx="14">
                  <c:v>11.937766417144372</c:v>
                </c:pt>
                <c:pt idx="15">
                  <c:v>14.251026703029988</c:v>
                </c:pt>
                <c:pt idx="16">
                  <c:v>17.012542798525896</c:v>
                </c:pt>
                <c:pt idx="17">
                  <c:v>20.309176209047362</c:v>
                </c:pt>
                <c:pt idx="18">
                  <c:v>24.244620170823286</c:v>
                </c:pt>
                <c:pt idx="19">
                  <c:v>28.942661247167532</c:v>
                </c:pt>
                <c:pt idx="20">
                  <c:v>34.551072945922215</c:v>
                </c:pt>
                <c:pt idx="21">
                  <c:v>41.246263829013543</c:v>
                </c:pt>
                <c:pt idx="22">
                  <c:v>49.238826317067435</c:v>
                </c:pt>
                <c:pt idx="23">
                  <c:v>58.780160722749173</c:v>
                </c:pt>
                <c:pt idx="24">
                  <c:v>70.170382867038327</c:v>
                </c:pt>
                <c:pt idx="25">
                  <c:v>83.767764006829239</c:v>
                </c:pt>
                <c:pt idx="26">
                  <c:v>100</c:v>
                </c:pt>
                <c:pt idx="27">
                  <c:v>119.3776641714438</c:v>
                </c:pt>
                <c:pt idx="28">
                  <c:v>142.51026703029996</c:v>
                </c:pt>
                <c:pt idx="29">
                  <c:v>170.12542798525905</c:v>
                </c:pt>
                <c:pt idx="30">
                  <c:v>203.09176209047374</c:v>
                </c:pt>
                <c:pt idx="31">
                  <c:v>242.44620170823302</c:v>
                </c:pt>
                <c:pt idx="32">
                  <c:v>289.42661247167524</c:v>
                </c:pt>
                <c:pt idx="33">
                  <c:v>345.51072945922243</c:v>
                </c:pt>
                <c:pt idx="34">
                  <c:v>412.46263829013532</c:v>
                </c:pt>
                <c:pt idx="35">
                  <c:v>492.38826317067446</c:v>
                </c:pt>
                <c:pt idx="36">
                  <c:v>587.80160722749133</c:v>
                </c:pt>
                <c:pt idx="37">
                  <c:v>701.70382867038347</c:v>
                </c:pt>
                <c:pt idx="38">
                  <c:v>837.67764006829327</c:v>
                </c:pt>
                <c:pt idx="39">
                  <c:v>1000</c:v>
                </c:pt>
              </c:numCache>
            </c:numRef>
          </c:xVal>
          <c:yVal>
            <c:numRef>
              <c:f>BodePlot_vLoop!$Q$9:$Q$48</c:f>
              <c:numCache>
                <c:formatCode>0.0</c:formatCode>
                <c:ptCount val="40"/>
                <c:pt idx="0">
                  <c:v>22.194826976181069</c:v>
                </c:pt>
                <c:pt idx="1">
                  <c:v>19.84154546889782</c:v>
                </c:pt>
                <c:pt idx="2">
                  <c:v>17.621693232601352</c:v>
                </c:pt>
                <c:pt idx="3">
                  <c:v>15.528777538822453</c:v>
                </c:pt>
                <c:pt idx="4">
                  <c:v>13.549091703406773</c:v>
                </c:pt>
                <c:pt idx="5">
                  <c:v>11.664159615078567</c:v>
                </c:pt>
                <c:pt idx="6">
                  <c:v>9.8534030667403911</c:v>
                </c:pt>
                <c:pt idx="7">
                  <c:v>8.0961793155005992</c:v>
                </c:pt>
                <c:pt idx="8">
                  <c:v>6.3728319892753404</c:v>
                </c:pt>
                <c:pt idx="9">
                  <c:v>4.6648319285801421</c:v>
                </c:pt>
                <c:pt idx="10">
                  <c:v>2.9542982610363993</c:v>
                </c:pt>
                <c:pt idx="11">
                  <c:v>1.2232369931431109</c:v>
                </c:pt>
                <c:pt idx="12">
                  <c:v>-0.54717391018387929</c:v>
                </c:pt>
                <c:pt idx="13">
                  <c:v>-2.3769212189768538</c:v>
                </c:pt>
                <c:pt idx="14">
                  <c:v>-4.2867808059576262</c:v>
                </c:pt>
                <c:pt idx="15">
                  <c:v>-6.2969785623148979</c:v>
                </c:pt>
                <c:pt idx="16">
                  <c:v>-8.4249140788256653</c:v>
                </c:pt>
                <c:pt idx="17">
                  <c:v>-10.682452561245604</c:v>
                </c:pt>
                <c:pt idx="18">
                  <c:v>-13.073738692345994</c:v>
                </c:pt>
                <c:pt idx="19">
                  <c:v>-15.594500775998817</c:v>
                </c:pt>
                <c:pt idx="20">
                  <c:v>-18.233213259137028</c:v>
                </c:pt>
                <c:pt idx="21">
                  <c:v>-20.973626681000614</c:v>
                </c:pt>
                <c:pt idx="22">
                  <c:v>-23.797670480533718</c:v>
                </c:pt>
                <c:pt idx="23">
                  <c:v>-26.687848880129948</c:v>
                </c:pt>
                <c:pt idx="24">
                  <c:v>-29.628728411428476</c:v>
                </c:pt>
                <c:pt idx="25">
                  <c:v>-32.607559889632796</c:v>
                </c:pt>
                <c:pt idx="26">
                  <c:v>-35.614294845097575</c:v>
                </c:pt>
                <c:pt idx="27">
                  <c:v>-38.641275678392702</c:v>
                </c:pt>
                <c:pt idx="28">
                  <c:v>-41.682805611532416</c:v>
                </c:pt>
                <c:pt idx="29">
                  <c:v>-44.734718653594378</c:v>
                </c:pt>
                <c:pt idx="30">
                  <c:v>-47.794005117018642</c:v>
                </c:pt>
                <c:pt idx="31">
                  <c:v>-50.858509323761197</c:v>
                </c:pt>
                <c:pt idx="32">
                  <c:v>-53.926696637741237</c:v>
                </c:pt>
                <c:pt idx="33">
                  <c:v>-56.997479217727815</c:v>
                </c:pt>
                <c:pt idx="34">
                  <c:v>-60.070088260226044</c:v>
                </c:pt>
                <c:pt idx="35">
                  <c:v>-63.143981584986051</c:v>
                </c:pt>
                <c:pt idx="36">
                  <c:v>-66.21877740213904</c:v>
                </c:pt>
                <c:pt idx="37">
                  <c:v>-69.294207146231969</c:v>
                </c:pt>
                <c:pt idx="38">
                  <c:v>-72.370082037085041</c:v>
                </c:pt>
                <c:pt idx="39">
                  <c:v>-75.446269445749877</c:v>
                </c:pt>
              </c:numCache>
            </c:numRef>
          </c:yVal>
          <c:smooth val="1"/>
        </c:ser>
        <c:axId val="161563392"/>
        <c:axId val="161564928"/>
      </c:scatterChart>
      <c:valAx>
        <c:axId val="161563392"/>
        <c:scaling>
          <c:logBase val="10"/>
          <c:orientation val="minMax"/>
          <c:max val="1000"/>
          <c:min val="1"/>
        </c:scaling>
        <c:axPos val="b"/>
        <c:minorGridlines/>
        <c:numFmt formatCode="#,##0_);[Red]\(#,##0\)" sourceLinked="0"/>
        <c:tickLblPos val="nextTo"/>
        <c:crossAx val="161564928"/>
        <c:crossesAt val="-60"/>
        <c:crossBetween val="midCat"/>
      </c:valAx>
      <c:valAx>
        <c:axId val="161564928"/>
        <c:scaling>
          <c:orientation val="minMax"/>
          <c:max val="100"/>
          <c:min val="-60"/>
        </c:scaling>
        <c:axPos val="l"/>
        <c:majorGridlines/>
        <c:title>
          <c:tx>
            <c:rich>
              <a:bodyPr rot="-5400000" vert="horz"/>
              <a:lstStyle/>
              <a:p>
                <a:pPr>
                  <a:defRPr/>
                </a:pPr>
                <a:r>
                  <a:rPr lang="en-US" altLang="en-US"/>
                  <a:t>Gain (dB)</a:t>
                </a:r>
              </a:p>
            </c:rich>
          </c:tx>
          <c:layout/>
        </c:title>
        <c:numFmt formatCode="General" sourceLinked="0"/>
        <c:tickLblPos val="nextTo"/>
        <c:spPr>
          <a:noFill/>
        </c:spPr>
        <c:crossAx val="161563392"/>
        <c:crossesAt val="1"/>
        <c:crossBetween val="midCat"/>
      </c:valAx>
      <c:spPr>
        <a:noFill/>
        <a:ln w="25400">
          <a:noFill/>
        </a:ln>
      </c:spPr>
    </c:plotArea>
    <c:legend>
      <c:legendPos val="r"/>
      <c:layout>
        <c:manualLayout>
          <c:xMode val="edge"/>
          <c:yMode val="edge"/>
          <c:x val="0.63763992714565865"/>
          <c:y val="0.19506843087913087"/>
          <c:w val="0.21471453796350795"/>
          <c:h val="0.29827485997240144"/>
        </c:manualLayout>
      </c:layout>
      <c:spPr>
        <a:solidFill>
          <a:schemeClr val="bg1"/>
        </a:solidFill>
        <a:ln>
          <a:solidFill>
            <a:schemeClr val="accent1"/>
          </a:solidFill>
        </a:ln>
      </c:spPr>
    </c:legend>
    <c:plotVisOnly val="1"/>
    <c:dispBlanksAs val="gap"/>
  </c:chart>
  <c:printSettings>
    <c:headerFooter/>
    <c:pageMargins b="0.75000000000000222" l="0.70000000000000062" r="0.70000000000000062" t="0.750000000000002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3296152210222789"/>
          <c:y val="0.1618118387375492"/>
          <c:w val="0.7380539610936282"/>
          <c:h val="0.60346391483673156"/>
        </c:manualLayout>
      </c:layout>
      <c:scatterChart>
        <c:scatterStyle val="smoothMarker"/>
        <c:ser>
          <c:idx val="0"/>
          <c:order val="0"/>
          <c:tx>
            <c:strRef>
              <c:f>BodePlot_vLoop!$F$6</c:f>
              <c:strCache>
                <c:ptCount val="1"/>
                <c:pt idx="0">
                  <c:v>Gps(s)</c:v>
                </c:pt>
              </c:strCache>
            </c:strRef>
          </c:tx>
          <c:marker>
            <c:symbol val="none"/>
          </c:marker>
          <c:xVal>
            <c:numRef>
              <c:f>BodePlot_vLoop!$E$9:$E$48</c:f>
              <c:numCache>
                <c:formatCode>0.0</c:formatCode>
                <c:ptCount val="40"/>
                <c:pt idx="0">
                  <c:v>1</c:v>
                </c:pt>
                <c:pt idx="1">
                  <c:v>1.1937766417144364</c:v>
                </c:pt>
                <c:pt idx="2">
                  <c:v>1.4251026703029981</c:v>
                </c:pt>
                <c:pt idx="3">
                  <c:v>1.7012542798525891</c:v>
                </c:pt>
                <c:pt idx="4">
                  <c:v>2.0309176209047357</c:v>
                </c:pt>
                <c:pt idx="5">
                  <c:v>2.424462017082329</c:v>
                </c:pt>
                <c:pt idx="6">
                  <c:v>2.8942661247167512</c:v>
                </c:pt>
                <c:pt idx="7">
                  <c:v>3.4551072945922203</c:v>
                </c:pt>
                <c:pt idx="8">
                  <c:v>4.1246263829013525</c:v>
                </c:pt>
                <c:pt idx="9">
                  <c:v>4.9238826317067392</c:v>
                </c:pt>
                <c:pt idx="10">
                  <c:v>5.8780160722749146</c:v>
                </c:pt>
                <c:pt idx="11">
                  <c:v>7.0170382867038308</c:v>
                </c:pt>
                <c:pt idx="12">
                  <c:v>8.3767764006829211</c:v>
                </c:pt>
                <c:pt idx="13">
                  <c:v>10</c:v>
                </c:pt>
                <c:pt idx="14">
                  <c:v>11.937766417144372</c:v>
                </c:pt>
                <c:pt idx="15">
                  <c:v>14.251026703029988</c:v>
                </c:pt>
                <c:pt idx="16">
                  <c:v>17.012542798525896</c:v>
                </c:pt>
                <c:pt idx="17">
                  <c:v>20.309176209047362</c:v>
                </c:pt>
                <c:pt idx="18">
                  <c:v>24.244620170823286</c:v>
                </c:pt>
                <c:pt idx="19">
                  <c:v>28.942661247167532</c:v>
                </c:pt>
                <c:pt idx="20">
                  <c:v>34.551072945922215</c:v>
                </c:pt>
                <c:pt idx="21">
                  <c:v>41.246263829013543</c:v>
                </c:pt>
                <c:pt idx="22">
                  <c:v>49.238826317067435</c:v>
                </c:pt>
                <c:pt idx="23">
                  <c:v>58.780160722749173</c:v>
                </c:pt>
                <c:pt idx="24">
                  <c:v>70.170382867038327</c:v>
                </c:pt>
                <c:pt idx="25">
                  <c:v>83.767764006829239</c:v>
                </c:pt>
                <c:pt idx="26">
                  <c:v>100</c:v>
                </c:pt>
                <c:pt idx="27">
                  <c:v>119.3776641714438</c:v>
                </c:pt>
                <c:pt idx="28">
                  <c:v>142.51026703029996</c:v>
                </c:pt>
                <c:pt idx="29">
                  <c:v>170.12542798525905</c:v>
                </c:pt>
                <c:pt idx="30">
                  <c:v>203.09176209047374</c:v>
                </c:pt>
                <c:pt idx="31">
                  <c:v>242.44620170823302</c:v>
                </c:pt>
                <c:pt idx="32">
                  <c:v>289.42661247167524</c:v>
                </c:pt>
                <c:pt idx="33">
                  <c:v>345.51072945922243</c:v>
                </c:pt>
                <c:pt idx="34">
                  <c:v>412.46263829013532</c:v>
                </c:pt>
                <c:pt idx="35">
                  <c:v>492.38826317067446</c:v>
                </c:pt>
                <c:pt idx="36">
                  <c:v>587.80160722749133</c:v>
                </c:pt>
                <c:pt idx="37">
                  <c:v>701.70382867038347</c:v>
                </c:pt>
                <c:pt idx="38">
                  <c:v>837.67764006829327</c:v>
                </c:pt>
                <c:pt idx="39">
                  <c:v>1000</c:v>
                </c:pt>
              </c:numCache>
            </c:numRef>
          </c:xVal>
          <c:yVal>
            <c:numRef>
              <c:f>BodePlot_vLoop!$G$9:$G$48</c:f>
              <c:numCache>
                <c:formatCode>0</c:formatCode>
                <c:ptCount val="40"/>
                <c:pt idx="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pt idx="16">
                  <c:v>-90</c:v>
                </c:pt>
                <c:pt idx="17">
                  <c:v>-90</c:v>
                </c:pt>
                <c:pt idx="18">
                  <c:v>-90</c:v>
                </c:pt>
                <c:pt idx="19">
                  <c:v>-90</c:v>
                </c:pt>
                <c:pt idx="20">
                  <c:v>-90</c:v>
                </c:pt>
                <c:pt idx="21">
                  <c:v>-90</c:v>
                </c:pt>
                <c:pt idx="22">
                  <c:v>-90</c:v>
                </c:pt>
                <c:pt idx="23">
                  <c:v>-90</c:v>
                </c:pt>
                <c:pt idx="24">
                  <c:v>-90</c:v>
                </c:pt>
                <c:pt idx="25">
                  <c:v>-90</c:v>
                </c:pt>
                <c:pt idx="26">
                  <c:v>-90</c:v>
                </c:pt>
                <c:pt idx="27">
                  <c:v>-90</c:v>
                </c:pt>
                <c:pt idx="28">
                  <c:v>-90</c:v>
                </c:pt>
                <c:pt idx="29">
                  <c:v>-90</c:v>
                </c:pt>
                <c:pt idx="30">
                  <c:v>-90</c:v>
                </c:pt>
                <c:pt idx="31">
                  <c:v>-90</c:v>
                </c:pt>
                <c:pt idx="32">
                  <c:v>-90</c:v>
                </c:pt>
                <c:pt idx="33">
                  <c:v>-90</c:v>
                </c:pt>
                <c:pt idx="34">
                  <c:v>-90</c:v>
                </c:pt>
                <c:pt idx="35">
                  <c:v>-90</c:v>
                </c:pt>
                <c:pt idx="36">
                  <c:v>-90</c:v>
                </c:pt>
                <c:pt idx="37">
                  <c:v>-90</c:v>
                </c:pt>
                <c:pt idx="38">
                  <c:v>-90</c:v>
                </c:pt>
                <c:pt idx="39">
                  <c:v>-90</c:v>
                </c:pt>
              </c:numCache>
            </c:numRef>
          </c:yVal>
          <c:smooth val="1"/>
        </c:ser>
        <c:ser>
          <c:idx val="1"/>
          <c:order val="1"/>
          <c:tx>
            <c:strRef>
              <c:f>BodePlot_vLoop!$N$7</c:f>
              <c:strCache>
                <c:ptCount val="1"/>
                <c:pt idx="0">
                  <c:v>Zcomp(s)*Gmv</c:v>
                </c:pt>
              </c:strCache>
            </c:strRef>
          </c:tx>
          <c:marker>
            <c:symbol val="none"/>
          </c:marker>
          <c:xVal>
            <c:numRef>
              <c:f>BodePlot_vLoop!$E$9:$E$48</c:f>
              <c:numCache>
                <c:formatCode>0.0</c:formatCode>
                <c:ptCount val="40"/>
                <c:pt idx="0">
                  <c:v>1</c:v>
                </c:pt>
                <c:pt idx="1">
                  <c:v>1.1937766417144364</c:v>
                </c:pt>
                <c:pt idx="2">
                  <c:v>1.4251026703029981</c:v>
                </c:pt>
                <c:pt idx="3">
                  <c:v>1.7012542798525891</c:v>
                </c:pt>
                <c:pt idx="4">
                  <c:v>2.0309176209047357</c:v>
                </c:pt>
                <c:pt idx="5">
                  <c:v>2.424462017082329</c:v>
                </c:pt>
                <c:pt idx="6">
                  <c:v>2.8942661247167512</c:v>
                </c:pt>
                <c:pt idx="7">
                  <c:v>3.4551072945922203</c:v>
                </c:pt>
                <c:pt idx="8">
                  <c:v>4.1246263829013525</c:v>
                </c:pt>
                <c:pt idx="9">
                  <c:v>4.9238826317067392</c:v>
                </c:pt>
                <c:pt idx="10">
                  <c:v>5.8780160722749146</c:v>
                </c:pt>
                <c:pt idx="11">
                  <c:v>7.0170382867038308</c:v>
                </c:pt>
                <c:pt idx="12">
                  <c:v>8.3767764006829211</c:v>
                </c:pt>
                <c:pt idx="13">
                  <c:v>10</c:v>
                </c:pt>
                <c:pt idx="14">
                  <c:v>11.937766417144372</c:v>
                </c:pt>
                <c:pt idx="15">
                  <c:v>14.251026703029988</c:v>
                </c:pt>
                <c:pt idx="16">
                  <c:v>17.012542798525896</c:v>
                </c:pt>
                <c:pt idx="17">
                  <c:v>20.309176209047362</c:v>
                </c:pt>
                <c:pt idx="18">
                  <c:v>24.244620170823286</c:v>
                </c:pt>
                <c:pt idx="19">
                  <c:v>28.942661247167532</c:v>
                </c:pt>
                <c:pt idx="20">
                  <c:v>34.551072945922215</c:v>
                </c:pt>
                <c:pt idx="21">
                  <c:v>41.246263829013543</c:v>
                </c:pt>
                <c:pt idx="22">
                  <c:v>49.238826317067435</c:v>
                </c:pt>
                <c:pt idx="23">
                  <c:v>58.780160722749173</c:v>
                </c:pt>
                <c:pt idx="24">
                  <c:v>70.170382867038327</c:v>
                </c:pt>
                <c:pt idx="25">
                  <c:v>83.767764006829239</c:v>
                </c:pt>
                <c:pt idx="26">
                  <c:v>100</c:v>
                </c:pt>
                <c:pt idx="27">
                  <c:v>119.3776641714438</c:v>
                </c:pt>
                <c:pt idx="28">
                  <c:v>142.51026703029996</c:v>
                </c:pt>
                <c:pt idx="29">
                  <c:v>170.12542798525905</c:v>
                </c:pt>
                <c:pt idx="30">
                  <c:v>203.09176209047374</c:v>
                </c:pt>
                <c:pt idx="31">
                  <c:v>242.44620170823302</c:v>
                </c:pt>
                <c:pt idx="32">
                  <c:v>289.42661247167524</c:v>
                </c:pt>
                <c:pt idx="33">
                  <c:v>345.51072945922243</c:v>
                </c:pt>
                <c:pt idx="34">
                  <c:v>412.46263829013532</c:v>
                </c:pt>
                <c:pt idx="35">
                  <c:v>492.38826317067446</c:v>
                </c:pt>
                <c:pt idx="36">
                  <c:v>587.80160722749133</c:v>
                </c:pt>
                <c:pt idx="37">
                  <c:v>701.70382867038347</c:v>
                </c:pt>
                <c:pt idx="38">
                  <c:v>837.67764006829327</c:v>
                </c:pt>
                <c:pt idx="39">
                  <c:v>1000</c:v>
                </c:pt>
              </c:numCache>
            </c:numRef>
          </c:xVal>
          <c:yVal>
            <c:numRef>
              <c:f>BodePlot_vLoop!$O$9:$O$48</c:f>
              <c:numCache>
                <c:formatCode>0.0</c:formatCode>
                <c:ptCount val="40"/>
                <c:pt idx="0">
                  <c:v>-51.917786449106764</c:v>
                </c:pt>
                <c:pt idx="1">
                  <c:v>-47.410895928099563</c:v>
                </c:pt>
                <c:pt idx="2">
                  <c:v>-43.041505946243646</c:v>
                </c:pt>
                <c:pt idx="3">
                  <c:v>-38.98005947188971</c:v>
                </c:pt>
                <c:pt idx="4">
                  <c:v>-35.374698263504534</c:v>
                </c:pt>
                <c:pt idx="5">
                  <c:v>-32.33878971606827</c:v>
                </c:pt>
                <c:pt idx="6">
                  <c:v>-29.948793899916119</c:v>
                </c:pt>
                <c:pt idx="7">
                  <c:v>-28.250003819552866</c:v>
                </c:pt>
                <c:pt idx="8">
                  <c:v>-27.265703421068046</c:v>
                </c:pt>
                <c:pt idx="9">
                  <c:v>-27.005792473021351</c:v>
                </c:pt>
                <c:pt idx="10">
                  <c:v>-27.472433311509377</c:v>
                </c:pt>
                <c:pt idx="11">
                  <c:v>-28.661608086416816</c:v>
                </c:pt>
                <c:pt idx="12">
                  <c:v>-30.56034151693806</c:v>
                </c:pt>
                <c:pt idx="13">
                  <c:v>-33.140044293069614</c:v>
                </c:pt>
                <c:pt idx="14">
                  <c:v>-36.347418419655725</c:v>
                </c:pt>
                <c:pt idx="15">
                  <c:v>-40.095815414432721</c:v>
                </c:pt>
                <c:pt idx="16">
                  <c:v>-44.261313988585307</c:v>
                </c:pt>
                <c:pt idx="17">
                  <c:v>-48.687708339743914</c:v>
                </c:pt>
                <c:pt idx="18">
                  <c:v>-53.201773459994847</c:v>
                </c:pt>
                <c:pt idx="19">
                  <c:v>-57.635245303422387</c:v>
                </c:pt>
                <c:pt idx="20">
                  <c:v>-61.846124384182595</c:v>
                </c:pt>
                <c:pt idx="21">
                  <c:v>-65.732305944823452</c:v>
                </c:pt>
                <c:pt idx="22">
                  <c:v>-69.234795716245088</c:v>
                </c:pt>
                <c:pt idx="23">
                  <c:v>-72.332449872998822</c:v>
                </c:pt>
                <c:pt idx="24">
                  <c:v>-75.032414284790036</c:v>
                </c:pt>
                <c:pt idx="25">
                  <c:v>-77.360037504411267</c:v>
                </c:pt>
                <c:pt idx="26">
                  <c:v>-79.350439104386268</c:v>
                </c:pt>
                <c:pt idx="27">
                  <c:v>-81.042433813388499</c:v>
                </c:pt>
                <c:pt idx="28">
                  <c:v>-82.474637068062904</c:v>
                </c:pt>
                <c:pt idx="29">
                  <c:v>-83.68324380745932</c:v>
                </c:pt>
                <c:pt idx="30">
                  <c:v>-84.700950413282754</c:v>
                </c:pt>
                <c:pt idx="31">
                  <c:v>-85.556592619031335</c:v>
                </c:pt>
                <c:pt idx="32">
                  <c:v>-86.27519701977279</c:v>
                </c:pt>
                <c:pt idx="33">
                  <c:v>-86.878249065113209</c:v>
                </c:pt>
                <c:pt idx="34">
                  <c:v>-87.384056761037115</c:v>
                </c:pt>
                <c:pt idx="35">
                  <c:v>-87.808140169298284</c:v>
                </c:pt>
                <c:pt idx="36">
                  <c:v>-88.163608818164832</c:v>
                </c:pt>
                <c:pt idx="37">
                  <c:v>-88.461508441312887</c:v>
                </c:pt>
                <c:pt idx="38">
                  <c:v>-88.711129636586662</c:v>
                </c:pt>
                <c:pt idx="39">
                  <c:v>-88.920277214934686</c:v>
                </c:pt>
              </c:numCache>
            </c:numRef>
          </c:yVal>
          <c:smooth val="1"/>
        </c:ser>
        <c:ser>
          <c:idx val="2"/>
          <c:order val="2"/>
          <c:tx>
            <c:strRef>
              <c:f>BodePlot_vLoop!$Q$6</c:f>
              <c:strCache>
                <c:ptCount val="1"/>
                <c:pt idx="0">
                  <c:v>Gvloop(s)</c:v>
                </c:pt>
              </c:strCache>
            </c:strRef>
          </c:tx>
          <c:marker>
            <c:symbol val="none"/>
          </c:marker>
          <c:xVal>
            <c:numRef>
              <c:f>BodePlot_vLoop!$E$9:$E$48</c:f>
              <c:numCache>
                <c:formatCode>0.0</c:formatCode>
                <c:ptCount val="40"/>
                <c:pt idx="0">
                  <c:v>1</c:v>
                </c:pt>
                <c:pt idx="1">
                  <c:v>1.1937766417144364</c:v>
                </c:pt>
                <c:pt idx="2">
                  <c:v>1.4251026703029981</c:v>
                </c:pt>
                <c:pt idx="3">
                  <c:v>1.7012542798525891</c:v>
                </c:pt>
                <c:pt idx="4">
                  <c:v>2.0309176209047357</c:v>
                </c:pt>
                <c:pt idx="5">
                  <c:v>2.424462017082329</c:v>
                </c:pt>
                <c:pt idx="6">
                  <c:v>2.8942661247167512</c:v>
                </c:pt>
                <c:pt idx="7">
                  <c:v>3.4551072945922203</c:v>
                </c:pt>
                <c:pt idx="8">
                  <c:v>4.1246263829013525</c:v>
                </c:pt>
                <c:pt idx="9">
                  <c:v>4.9238826317067392</c:v>
                </c:pt>
                <c:pt idx="10">
                  <c:v>5.8780160722749146</c:v>
                </c:pt>
                <c:pt idx="11">
                  <c:v>7.0170382867038308</c:v>
                </c:pt>
                <c:pt idx="12">
                  <c:v>8.3767764006829211</c:v>
                </c:pt>
                <c:pt idx="13">
                  <c:v>10</c:v>
                </c:pt>
                <c:pt idx="14">
                  <c:v>11.937766417144372</c:v>
                </c:pt>
                <c:pt idx="15">
                  <c:v>14.251026703029988</c:v>
                </c:pt>
                <c:pt idx="16">
                  <c:v>17.012542798525896</c:v>
                </c:pt>
                <c:pt idx="17">
                  <c:v>20.309176209047362</c:v>
                </c:pt>
                <c:pt idx="18">
                  <c:v>24.244620170823286</c:v>
                </c:pt>
                <c:pt idx="19">
                  <c:v>28.942661247167532</c:v>
                </c:pt>
                <c:pt idx="20">
                  <c:v>34.551072945922215</c:v>
                </c:pt>
                <c:pt idx="21">
                  <c:v>41.246263829013543</c:v>
                </c:pt>
                <c:pt idx="22">
                  <c:v>49.238826317067435</c:v>
                </c:pt>
                <c:pt idx="23">
                  <c:v>58.780160722749173</c:v>
                </c:pt>
                <c:pt idx="24">
                  <c:v>70.170382867038327</c:v>
                </c:pt>
                <c:pt idx="25">
                  <c:v>83.767764006829239</c:v>
                </c:pt>
                <c:pt idx="26">
                  <c:v>100</c:v>
                </c:pt>
                <c:pt idx="27">
                  <c:v>119.3776641714438</c:v>
                </c:pt>
                <c:pt idx="28">
                  <c:v>142.51026703029996</c:v>
                </c:pt>
                <c:pt idx="29">
                  <c:v>170.12542798525905</c:v>
                </c:pt>
                <c:pt idx="30">
                  <c:v>203.09176209047374</c:v>
                </c:pt>
                <c:pt idx="31">
                  <c:v>242.44620170823302</c:v>
                </c:pt>
                <c:pt idx="32">
                  <c:v>289.42661247167524</c:v>
                </c:pt>
                <c:pt idx="33">
                  <c:v>345.51072945922243</c:v>
                </c:pt>
                <c:pt idx="34">
                  <c:v>412.46263829013532</c:v>
                </c:pt>
                <c:pt idx="35">
                  <c:v>492.38826317067446</c:v>
                </c:pt>
                <c:pt idx="36">
                  <c:v>587.80160722749133</c:v>
                </c:pt>
                <c:pt idx="37">
                  <c:v>701.70382867038347</c:v>
                </c:pt>
                <c:pt idx="38">
                  <c:v>837.67764006829327</c:v>
                </c:pt>
                <c:pt idx="39">
                  <c:v>1000</c:v>
                </c:pt>
              </c:numCache>
            </c:numRef>
          </c:xVal>
          <c:yVal>
            <c:numRef>
              <c:f>BodePlot_vLoop!$R$9:$R$48</c:f>
              <c:numCache>
                <c:formatCode>0.0</c:formatCode>
                <c:ptCount val="40"/>
                <c:pt idx="0">
                  <c:v>-141.91778644910676</c:v>
                </c:pt>
                <c:pt idx="1">
                  <c:v>-137.41089592809956</c:v>
                </c:pt>
                <c:pt idx="2">
                  <c:v>-133.04150594624366</c:v>
                </c:pt>
                <c:pt idx="3">
                  <c:v>-128.98005947188972</c:v>
                </c:pt>
                <c:pt idx="4">
                  <c:v>-125.37469826350454</c:v>
                </c:pt>
                <c:pt idx="5">
                  <c:v>-122.33878971606828</c:v>
                </c:pt>
                <c:pt idx="6">
                  <c:v>-119.94879389991613</c:v>
                </c:pt>
                <c:pt idx="7">
                  <c:v>-118.25000381955286</c:v>
                </c:pt>
                <c:pt idx="8">
                  <c:v>-117.26570342106805</c:v>
                </c:pt>
                <c:pt idx="9">
                  <c:v>-117.00579247302136</c:v>
                </c:pt>
                <c:pt idx="10">
                  <c:v>-117.47243331150938</c:v>
                </c:pt>
                <c:pt idx="11">
                  <c:v>-118.66160808641682</c:v>
                </c:pt>
                <c:pt idx="12">
                  <c:v>-120.56034151693805</c:v>
                </c:pt>
                <c:pt idx="13">
                  <c:v>-123.14004429306962</c:v>
                </c:pt>
                <c:pt idx="14">
                  <c:v>-126.34741841965572</c:v>
                </c:pt>
                <c:pt idx="15">
                  <c:v>-130.09581541443271</c:v>
                </c:pt>
                <c:pt idx="16">
                  <c:v>-134.2613139885853</c:v>
                </c:pt>
                <c:pt idx="17">
                  <c:v>-138.68770833974392</c:v>
                </c:pt>
                <c:pt idx="18">
                  <c:v>-143.20177345999485</c:v>
                </c:pt>
                <c:pt idx="19">
                  <c:v>-147.63524530342238</c:v>
                </c:pt>
                <c:pt idx="20">
                  <c:v>-151.84612438418259</c:v>
                </c:pt>
                <c:pt idx="21">
                  <c:v>-155.73230594482345</c:v>
                </c:pt>
                <c:pt idx="22">
                  <c:v>-159.23479571624509</c:v>
                </c:pt>
                <c:pt idx="23">
                  <c:v>-162.33244987299884</c:v>
                </c:pt>
                <c:pt idx="24">
                  <c:v>-165.03241428479004</c:v>
                </c:pt>
                <c:pt idx="25">
                  <c:v>-167.36003750441125</c:v>
                </c:pt>
                <c:pt idx="26">
                  <c:v>-169.35043910438628</c:v>
                </c:pt>
                <c:pt idx="27">
                  <c:v>-171.0424338133885</c:v>
                </c:pt>
                <c:pt idx="28">
                  <c:v>-172.47463706806292</c:v>
                </c:pt>
                <c:pt idx="29">
                  <c:v>-173.68324380745932</c:v>
                </c:pt>
                <c:pt idx="30">
                  <c:v>-174.70095041328275</c:v>
                </c:pt>
                <c:pt idx="31">
                  <c:v>-175.55659261903133</c:v>
                </c:pt>
                <c:pt idx="32">
                  <c:v>-176.2751970197728</c:v>
                </c:pt>
                <c:pt idx="33">
                  <c:v>-176.87824906511321</c:v>
                </c:pt>
                <c:pt idx="34">
                  <c:v>-177.38405676103713</c:v>
                </c:pt>
                <c:pt idx="35">
                  <c:v>-177.80814016929827</c:v>
                </c:pt>
                <c:pt idx="36">
                  <c:v>-178.16360881816485</c:v>
                </c:pt>
                <c:pt idx="37">
                  <c:v>-178.4615084413129</c:v>
                </c:pt>
                <c:pt idx="38">
                  <c:v>-178.71112963658666</c:v>
                </c:pt>
                <c:pt idx="39">
                  <c:v>-178.92027721493469</c:v>
                </c:pt>
              </c:numCache>
            </c:numRef>
          </c:yVal>
          <c:smooth val="1"/>
        </c:ser>
        <c:axId val="161608832"/>
        <c:axId val="161610752"/>
      </c:scatterChart>
      <c:valAx>
        <c:axId val="161608832"/>
        <c:scaling>
          <c:logBase val="10"/>
          <c:orientation val="minMax"/>
          <c:max val="1000"/>
          <c:min val="1"/>
        </c:scaling>
        <c:axPos val="b"/>
        <c:minorGridlines/>
        <c:title>
          <c:tx>
            <c:rich>
              <a:bodyPr/>
              <a:lstStyle/>
              <a:p>
                <a:pPr>
                  <a:defRPr/>
                </a:pPr>
                <a:r>
                  <a:rPr lang="en-US" altLang="en-US"/>
                  <a:t>Frequency</a:t>
                </a:r>
                <a:r>
                  <a:rPr lang="en-US" altLang="en-US" baseline="0"/>
                  <a:t> (Hz)</a:t>
                </a:r>
                <a:endParaRPr lang="en-US" altLang="en-US"/>
              </a:p>
            </c:rich>
          </c:tx>
          <c:layout/>
        </c:title>
        <c:numFmt formatCode="#,##0_);[Red]\(#,##0\)" sourceLinked="0"/>
        <c:tickLblPos val="nextTo"/>
        <c:txPr>
          <a:bodyPr rot="0" vert="horz"/>
          <a:lstStyle/>
          <a:p>
            <a:pPr>
              <a:defRPr sz="1000" b="0" i="0" u="none" strike="noStrike" baseline="0">
                <a:solidFill>
                  <a:srgbClr val="000000"/>
                </a:solidFill>
                <a:latin typeface="宋体"/>
                <a:ea typeface="宋体"/>
                <a:cs typeface="宋体"/>
              </a:defRPr>
            </a:pPr>
            <a:endParaRPr lang="en-US"/>
          </a:p>
        </c:txPr>
        <c:crossAx val="161610752"/>
        <c:crossesAt val="-280"/>
        <c:crossBetween val="midCat"/>
      </c:valAx>
      <c:valAx>
        <c:axId val="161610752"/>
        <c:scaling>
          <c:orientation val="minMax"/>
          <c:max val="0"/>
          <c:min val="-180"/>
        </c:scaling>
        <c:axPos val="l"/>
        <c:majorGridlines/>
        <c:title>
          <c:tx>
            <c:rich>
              <a:bodyPr rot="-5400000" vert="horz"/>
              <a:lstStyle/>
              <a:p>
                <a:pPr>
                  <a:defRPr/>
                </a:pPr>
                <a:r>
                  <a:rPr lang="en-US" altLang="en-US"/>
                  <a:t>Phase(Deg)</a:t>
                </a:r>
              </a:p>
            </c:rich>
          </c:tx>
          <c:layout/>
        </c:title>
        <c:numFmt formatCode="General" sourceLinked="0"/>
        <c:tickLblPos val="nextTo"/>
        <c:spPr>
          <a:noFill/>
        </c:spPr>
        <c:crossAx val="161608832"/>
        <c:crossesAt val="1"/>
        <c:crossBetween val="midCat"/>
        <c:majorUnit val="30"/>
        <c:minorUnit val="10"/>
      </c:valAx>
      <c:spPr>
        <a:ln>
          <a:noFill/>
        </a:ln>
      </c:spPr>
    </c:plotArea>
    <c:legend>
      <c:legendPos val="r"/>
      <c:layout>
        <c:manualLayout>
          <c:xMode val="edge"/>
          <c:yMode val="edge"/>
          <c:x val="0.6498095414543803"/>
          <c:y val="0.17831182188785971"/>
          <c:w val="0.21458823529411791"/>
          <c:h val="0.22463246442020834"/>
        </c:manualLayout>
      </c:layout>
      <c:spPr>
        <a:solidFill>
          <a:schemeClr val="bg1"/>
        </a:solidFill>
        <a:ln>
          <a:solidFill>
            <a:srgbClr val="4F81BD"/>
          </a:solidFill>
        </a:ln>
      </c:spPr>
    </c:legend>
    <c:plotVisOnly val="1"/>
    <c:dispBlanksAs val="gap"/>
  </c:chart>
  <c:printSettings>
    <c:headerFooter/>
    <c:pageMargins b="0.75000000000000244" l="0.70000000000000062" r="0.70000000000000062" t="0.75000000000000244"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0</xdr:col>
      <xdr:colOff>32809</xdr:colOff>
      <xdr:row>6</xdr:row>
      <xdr:rowOff>175684</xdr:rowOff>
    </xdr:from>
    <xdr:to>
      <xdr:col>1</xdr:col>
      <xdr:colOff>2199217</xdr:colOff>
      <xdr:row>21</xdr:row>
      <xdr:rowOff>187326</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55562</xdr:colOff>
      <xdr:row>22</xdr:row>
      <xdr:rowOff>94986</xdr:rowOff>
    </xdr:from>
    <xdr:to>
      <xdr:col>1</xdr:col>
      <xdr:colOff>2225145</xdr:colOff>
      <xdr:row>38</xdr:row>
      <xdr:rowOff>114036</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42334</xdr:colOff>
      <xdr:row>7</xdr:row>
      <xdr:rowOff>23284</xdr:rowOff>
    </xdr:from>
    <xdr:to>
      <xdr:col>1</xdr:col>
      <xdr:colOff>2208742</xdr:colOff>
      <xdr:row>22</xdr:row>
      <xdr:rowOff>44451</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xdr:colOff>
      <xdr:row>24</xdr:row>
      <xdr:rowOff>11642</xdr:rowOff>
    </xdr:from>
    <xdr:to>
      <xdr:col>1</xdr:col>
      <xdr:colOff>2201333</xdr:colOff>
      <xdr:row>40</xdr:row>
      <xdr:rowOff>30692</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oleObject" Target="../embeddings/oleObject3.bin"/><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7.bin"/><Relationship Id="rId5" Type="http://schemas.openxmlformats.org/officeDocument/2006/relationships/oleObject" Target="../embeddings/oleObject6.bin"/><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10.bin"/><Relationship Id="rId5" Type="http://schemas.openxmlformats.org/officeDocument/2006/relationships/oleObject" Target="../embeddings/oleObject9.bin"/><Relationship Id="rId4" Type="http://schemas.openxmlformats.org/officeDocument/2006/relationships/oleObject" Target="../embeddings/oleObject8.bin"/></Relationships>
</file>

<file path=xl/worksheets/sheet1.xml><?xml version="1.0" encoding="utf-8"?>
<worksheet xmlns="http://schemas.openxmlformats.org/spreadsheetml/2006/main" xmlns:r="http://schemas.openxmlformats.org/officeDocument/2006/relationships">
  <dimension ref="A1:O72"/>
  <sheetViews>
    <sheetView workbookViewId="0">
      <pane ySplit="3" topLeftCell="A4" activePane="bottomLeft" state="frozen"/>
      <selection pane="bottomLeft" activeCell="A70" sqref="A70"/>
    </sheetView>
  </sheetViews>
  <sheetFormatPr defaultRowHeight="15"/>
  <cols>
    <col min="1" max="1" width="29.28515625" style="136" customWidth="1"/>
    <col min="2" max="2" width="7.7109375" style="141" customWidth="1"/>
    <col min="3" max="3" width="46.140625" style="136" customWidth="1"/>
    <col min="4" max="4" width="5.28515625" style="136" customWidth="1"/>
    <col min="5" max="6" width="5.28515625" style="136" bestFit="1" customWidth="1"/>
    <col min="7" max="7" width="6" style="141" customWidth="1"/>
    <col min="8" max="8" width="1.28515625" style="133" customWidth="1"/>
    <col min="9" max="9" width="7.42578125" style="129" bestFit="1" customWidth="1"/>
    <col min="10" max="10" width="9.42578125" style="134" customWidth="1"/>
    <col min="11" max="11" width="9.5703125" style="134" bestFit="1" customWidth="1"/>
    <col min="12" max="12" width="9.140625" style="135"/>
    <col min="13" max="13" width="28.85546875" style="135" customWidth="1"/>
    <col min="14" max="15" width="9.140625" style="136"/>
    <col min="16" max="16" width="13.5703125" style="136" customWidth="1"/>
    <col min="17" max="16384" width="9.140625" style="136"/>
  </cols>
  <sheetData>
    <row r="1" spans="1:13" ht="27" thickBot="1">
      <c r="A1" s="176" t="s">
        <v>349</v>
      </c>
      <c r="B1" s="177"/>
      <c r="C1" s="177"/>
      <c r="D1" s="177"/>
      <c r="E1" s="177"/>
      <c r="F1" s="177"/>
      <c r="G1" s="177"/>
      <c r="I1" s="136"/>
    </row>
    <row r="2" spans="1:13" ht="26.25" customHeight="1">
      <c r="A2" s="179" t="s">
        <v>373</v>
      </c>
      <c r="B2" s="179"/>
      <c r="C2" s="179"/>
      <c r="D2" s="179"/>
      <c r="E2" s="179"/>
      <c r="F2" s="179"/>
      <c r="G2" s="179"/>
      <c r="I2" s="150"/>
    </row>
    <row r="3" spans="1:13" s="141" customFormat="1">
      <c r="A3" s="175" t="s">
        <v>219</v>
      </c>
      <c r="B3" s="138" t="s">
        <v>220</v>
      </c>
      <c r="C3" s="137" t="s">
        <v>221</v>
      </c>
      <c r="D3" s="138" t="s">
        <v>222</v>
      </c>
      <c r="E3" s="138" t="s">
        <v>223</v>
      </c>
      <c r="F3" s="138" t="s">
        <v>224</v>
      </c>
      <c r="G3" s="139" t="s">
        <v>225</v>
      </c>
      <c r="H3" s="140"/>
      <c r="I3" s="129"/>
      <c r="J3" s="129"/>
      <c r="K3" s="129"/>
      <c r="L3" s="133"/>
      <c r="M3" s="133"/>
    </row>
    <row r="4" spans="1:13">
      <c r="A4" s="178" t="s">
        <v>226</v>
      </c>
      <c r="B4" s="178"/>
      <c r="C4" s="178"/>
      <c r="D4" s="178"/>
      <c r="E4" s="178"/>
      <c r="F4" s="178"/>
      <c r="G4" s="178"/>
      <c r="H4" s="142"/>
      <c r="J4" s="129"/>
      <c r="K4" s="129"/>
    </row>
    <row r="5" spans="1:13">
      <c r="A5" s="143" t="s">
        <v>227</v>
      </c>
      <c r="B5" s="144" t="s">
        <v>228</v>
      </c>
      <c r="C5" s="143" t="s">
        <v>229</v>
      </c>
      <c r="D5" s="145">
        <v>73</v>
      </c>
      <c r="E5" s="145">
        <v>106</v>
      </c>
      <c r="F5" s="145">
        <v>139</v>
      </c>
      <c r="G5" s="144" t="s">
        <v>230</v>
      </c>
      <c r="H5" s="146"/>
      <c r="J5" s="129"/>
      <c r="K5" s="129"/>
    </row>
    <row r="6" spans="1:13">
      <c r="A6" s="143" t="s">
        <v>231</v>
      </c>
      <c r="B6" s="144" t="s">
        <v>232</v>
      </c>
      <c r="C6" s="143" t="s">
        <v>233</v>
      </c>
      <c r="D6" s="145">
        <v>179</v>
      </c>
      <c r="E6" s="145">
        <v>237</v>
      </c>
      <c r="F6" s="145">
        <v>295</v>
      </c>
      <c r="G6" s="144" t="s">
        <v>230</v>
      </c>
      <c r="H6" s="146"/>
      <c r="J6" s="129"/>
      <c r="K6" s="129"/>
    </row>
    <row r="7" spans="1:13">
      <c r="A7" s="143" t="s">
        <v>234</v>
      </c>
      <c r="B7" s="144" t="s">
        <v>235</v>
      </c>
      <c r="C7" s="143" t="s">
        <v>236</v>
      </c>
      <c r="D7" s="145">
        <v>580</v>
      </c>
      <c r="E7" s="145">
        <v>690</v>
      </c>
      <c r="F7" s="145">
        <v>800</v>
      </c>
      <c r="G7" s="144" t="s">
        <v>230</v>
      </c>
      <c r="H7" s="146"/>
      <c r="J7" s="129"/>
      <c r="K7" s="147"/>
    </row>
    <row r="8" spans="1:13">
      <c r="A8" s="143" t="s">
        <v>238</v>
      </c>
      <c r="B8" s="144" t="s">
        <v>239</v>
      </c>
      <c r="C8" s="143" t="s">
        <v>240</v>
      </c>
      <c r="D8" s="132">
        <v>3</v>
      </c>
      <c r="E8" s="132">
        <v>3.7</v>
      </c>
      <c r="F8" s="132">
        <v>4.2</v>
      </c>
      <c r="G8" s="130" t="s">
        <v>241</v>
      </c>
      <c r="H8" s="146"/>
      <c r="J8" s="129"/>
      <c r="K8" s="129"/>
    </row>
    <row r="9" spans="1:13">
      <c r="A9" s="178" t="s">
        <v>242</v>
      </c>
      <c r="B9" s="178"/>
      <c r="C9" s="178"/>
      <c r="D9" s="178"/>
      <c r="E9" s="178"/>
      <c r="F9" s="178"/>
      <c r="G9" s="178"/>
      <c r="H9" s="142"/>
      <c r="J9" s="129"/>
      <c r="K9" s="129"/>
    </row>
    <row r="10" spans="1:13">
      <c r="A10" s="143" t="s">
        <v>243</v>
      </c>
      <c r="B10" s="144" t="s">
        <v>244</v>
      </c>
      <c r="C10" s="143"/>
      <c r="D10" s="145">
        <v>9</v>
      </c>
      <c r="E10" s="145">
        <v>10</v>
      </c>
      <c r="F10" s="145">
        <v>11</v>
      </c>
      <c r="G10" s="144" t="s">
        <v>20</v>
      </c>
      <c r="H10" s="146"/>
      <c r="J10" s="129"/>
      <c r="K10" s="129"/>
    </row>
    <row r="11" spans="1:13">
      <c r="A11" s="143" t="s">
        <v>245</v>
      </c>
      <c r="B11" s="144" t="s">
        <v>246</v>
      </c>
      <c r="C11" s="143"/>
      <c r="D11" s="145">
        <v>6.7</v>
      </c>
      <c r="E11" s="145">
        <v>7.5</v>
      </c>
      <c r="F11" s="145">
        <v>8.3000000000000007</v>
      </c>
      <c r="G11" s="144" t="s">
        <v>20</v>
      </c>
      <c r="H11" s="146"/>
      <c r="J11" s="129"/>
      <c r="K11" s="129"/>
    </row>
    <row r="12" spans="1:13">
      <c r="A12" s="143" t="s">
        <v>247</v>
      </c>
      <c r="B12" s="144" t="s">
        <v>248</v>
      </c>
      <c r="C12" s="143"/>
      <c r="D12" s="145" t="s">
        <v>237</v>
      </c>
      <c r="E12" s="145">
        <v>2.5</v>
      </c>
      <c r="F12" s="145" t="s">
        <v>237</v>
      </c>
      <c r="G12" s="144" t="s">
        <v>20</v>
      </c>
      <c r="H12" s="146"/>
      <c r="J12" s="129"/>
      <c r="K12" s="129"/>
    </row>
    <row r="13" spans="1:13">
      <c r="A13" s="178" t="s">
        <v>249</v>
      </c>
      <c r="B13" s="178"/>
      <c r="C13" s="178"/>
      <c r="D13" s="178"/>
      <c r="E13" s="178"/>
      <c r="F13" s="178"/>
      <c r="G13" s="178"/>
      <c r="H13" s="142"/>
      <c r="J13" s="129"/>
      <c r="K13" s="129"/>
    </row>
    <row r="14" spans="1:13">
      <c r="A14" s="143" t="s">
        <v>250</v>
      </c>
      <c r="B14" s="144"/>
      <c r="C14" s="143" t="s">
        <v>251</v>
      </c>
      <c r="D14" s="132">
        <v>5.0999999999999996</v>
      </c>
      <c r="E14" s="145">
        <v>5.4</v>
      </c>
      <c r="F14" s="145">
        <v>5.6</v>
      </c>
      <c r="G14" s="144" t="s">
        <v>20</v>
      </c>
      <c r="H14" s="146"/>
      <c r="J14" s="129"/>
      <c r="K14" s="129"/>
    </row>
    <row r="15" spans="1:13">
      <c r="A15" s="143" t="s">
        <v>252</v>
      </c>
      <c r="B15" s="144"/>
      <c r="C15" s="143"/>
      <c r="D15" s="145">
        <v>30</v>
      </c>
      <c r="E15" s="145">
        <v>50</v>
      </c>
      <c r="F15" s="145">
        <v>70</v>
      </c>
      <c r="G15" s="144" t="s">
        <v>241</v>
      </c>
      <c r="H15" s="146"/>
      <c r="J15" s="129"/>
      <c r="K15" s="129"/>
    </row>
    <row r="16" spans="1:13">
      <c r="A16" s="178" t="s">
        <v>253</v>
      </c>
      <c r="B16" s="178"/>
      <c r="C16" s="178"/>
      <c r="D16" s="178"/>
      <c r="E16" s="178"/>
      <c r="F16" s="178"/>
      <c r="G16" s="178"/>
      <c r="H16" s="142"/>
      <c r="J16" s="129"/>
      <c r="K16" s="129"/>
    </row>
    <row r="17" spans="1:15" ht="23.25">
      <c r="A17" s="143" t="s">
        <v>254</v>
      </c>
      <c r="B17" s="144"/>
      <c r="C17" s="148" t="s">
        <v>255</v>
      </c>
      <c r="D17" s="145">
        <v>94.8</v>
      </c>
      <c r="E17" s="145">
        <v>96.5</v>
      </c>
      <c r="F17" s="145" t="s">
        <v>237</v>
      </c>
      <c r="G17" s="144" t="s">
        <v>10</v>
      </c>
      <c r="H17" s="146"/>
      <c r="J17" s="129"/>
      <c r="K17" s="129"/>
    </row>
    <row r="18" spans="1:15" ht="14.25" customHeight="1">
      <c r="A18" s="178" t="s">
        <v>256</v>
      </c>
      <c r="B18" s="178"/>
      <c r="C18" s="178"/>
      <c r="D18" s="178"/>
      <c r="E18" s="178"/>
      <c r="F18" s="178"/>
      <c r="G18" s="178"/>
      <c r="H18" s="142"/>
      <c r="J18" s="129"/>
      <c r="K18" s="129"/>
      <c r="O18" s="149"/>
    </row>
    <row r="19" spans="1:15">
      <c r="A19" s="143" t="s">
        <v>257</v>
      </c>
      <c r="B19" s="144"/>
      <c r="C19" s="143" t="s">
        <v>258</v>
      </c>
      <c r="D19" s="145">
        <v>98</v>
      </c>
      <c r="E19" s="145">
        <v>107</v>
      </c>
      <c r="F19" s="145">
        <v>116</v>
      </c>
      <c r="G19" s="144" t="s">
        <v>21</v>
      </c>
      <c r="H19" s="146"/>
      <c r="J19" s="129"/>
      <c r="K19" s="129"/>
    </row>
    <row r="20" spans="1:15">
      <c r="A20" s="143" t="s">
        <v>257</v>
      </c>
      <c r="B20" s="144"/>
      <c r="C20" s="143" t="s">
        <v>259</v>
      </c>
      <c r="D20" s="145">
        <v>114</v>
      </c>
      <c r="E20" s="145">
        <v>125</v>
      </c>
      <c r="F20" s="145">
        <v>136</v>
      </c>
      <c r="G20" s="144" t="s">
        <v>21</v>
      </c>
      <c r="H20" s="146"/>
      <c r="J20" s="129"/>
      <c r="K20" s="129"/>
    </row>
    <row r="21" spans="1:15">
      <c r="A21" s="131" t="s">
        <v>260</v>
      </c>
      <c r="B21" s="130"/>
      <c r="C21" s="131" t="s">
        <v>258</v>
      </c>
      <c r="D21" s="132">
        <v>47</v>
      </c>
      <c r="E21" s="132">
        <v>54</v>
      </c>
      <c r="F21" s="132">
        <v>61</v>
      </c>
      <c r="G21" s="144" t="s">
        <v>21</v>
      </c>
      <c r="H21" s="146"/>
      <c r="J21" s="129"/>
      <c r="K21" s="129"/>
    </row>
    <row r="22" spans="1:15">
      <c r="A22" s="131" t="s">
        <v>260</v>
      </c>
      <c r="B22" s="130"/>
      <c r="C22" s="131" t="s">
        <v>259</v>
      </c>
      <c r="D22" s="132">
        <v>57</v>
      </c>
      <c r="E22" s="132">
        <v>64</v>
      </c>
      <c r="F22" s="132">
        <v>71</v>
      </c>
      <c r="G22" s="144" t="s">
        <v>21</v>
      </c>
      <c r="H22" s="146"/>
      <c r="J22" s="129"/>
      <c r="K22" s="129"/>
    </row>
    <row r="23" spans="1:15">
      <c r="A23" s="143" t="s">
        <v>261</v>
      </c>
      <c r="B23" s="144" t="s">
        <v>262</v>
      </c>
      <c r="C23" s="143"/>
      <c r="D23" s="145">
        <v>1.33</v>
      </c>
      <c r="E23" s="145">
        <v>1.46</v>
      </c>
      <c r="F23" s="145">
        <v>1.59</v>
      </c>
      <c r="G23" s="144" t="s">
        <v>20</v>
      </c>
      <c r="H23" s="146"/>
      <c r="J23" s="129"/>
      <c r="K23" s="129"/>
    </row>
    <row r="24" spans="1:15">
      <c r="A24" s="178" t="s">
        <v>263</v>
      </c>
      <c r="B24" s="178"/>
      <c r="C24" s="178"/>
      <c r="D24" s="178"/>
      <c r="E24" s="178"/>
      <c r="F24" s="178"/>
      <c r="G24" s="178"/>
      <c r="H24" s="142"/>
      <c r="J24" s="129"/>
      <c r="K24" s="129"/>
    </row>
    <row r="25" spans="1:15">
      <c r="A25" s="143" t="s">
        <v>264</v>
      </c>
      <c r="B25" s="144"/>
      <c r="C25" s="143" t="s">
        <v>265</v>
      </c>
      <c r="D25" s="145" t="s">
        <v>237</v>
      </c>
      <c r="E25" s="145">
        <v>2.33</v>
      </c>
      <c r="F25" s="145">
        <v>4.46</v>
      </c>
      <c r="G25" s="144" t="s">
        <v>266</v>
      </c>
      <c r="H25" s="146"/>
      <c r="J25" s="129"/>
      <c r="K25" s="129"/>
    </row>
    <row r="26" spans="1:15">
      <c r="A26" s="143" t="s">
        <v>267</v>
      </c>
      <c r="B26" s="144"/>
      <c r="C26" s="143" t="s">
        <v>268</v>
      </c>
      <c r="D26" s="145">
        <v>0.15</v>
      </c>
      <c r="E26" s="145">
        <v>0.3</v>
      </c>
      <c r="F26" s="145">
        <v>0.45</v>
      </c>
      <c r="G26" s="144" t="s">
        <v>20</v>
      </c>
      <c r="H26" s="146"/>
      <c r="J26" s="129"/>
      <c r="K26" s="129"/>
    </row>
    <row r="27" spans="1:15">
      <c r="A27" s="143" t="s">
        <v>269</v>
      </c>
      <c r="B27" s="144"/>
      <c r="C27" s="143"/>
      <c r="D27" s="145" t="s">
        <v>237</v>
      </c>
      <c r="E27" s="145">
        <v>1.5</v>
      </c>
      <c r="F27" s="145" t="s">
        <v>237</v>
      </c>
      <c r="G27" s="144" t="s">
        <v>270</v>
      </c>
      <c r="H27" s="146"/>
      <c r="J27" s="129"/>
      <c r="K27" s="129"/>
    </row>
    <row r="28" spans="1:15">
      <c r="A28" s="143" t="s">
        <v>271</v>
      </c>
      <c r="B28" s="144"/>
      <c r="C28" s="143" t="s">
        <v>272</v>
      </c>
      <c r="D28" s="145" t="s">
        <v>237</v>
      </c>
      <c r="E28" s="145">
        <v>34</v>
      </c>
      <c r="F28" s="145">
        <v>62</v>
      </c>
      <c r="G28" s="144" t="s">
        <v>273</v>
      </c>
      <c r="H28" s="146"/>
      <c r="J28" s="129"/>
      <c r="K28" s="129"/>
    </row>
    <row r="29" spans="1:15">
      <c r="A29" s="143" t="s">
        <v>274</v>
      </c>
      <c r="B29" s="144"/>
      <c r="C29" s="143" t="s">
        <v>275</v>
      </c>
      <c r="D29" s="145" t="s">
        <v>237</v>
      </c>
      <c r="E29" s="145">
        <v>34</v>
      </c>
      <c r="F29" s="145">
        <v>57</v>
      </c>
      <c r="G29" s="144" t="s">
        <v>273</v>
      </c>
      <c r="H29" s="146"/>
      <c r="J29" s="129"/>
      <c r="K29" s="129"/>
    </row>
    <row r="30" spans="1:15">
      <c r="A30" s="143" t="s">
        <v>276</v>
      </c>
      <c r="B30" s="144" t="s">
        <v>277</v>
      </c>
      <c r="C30" s="143"/>
      <c r="D30" s="132">
        <v>10.5</v>
      </c>
      <c r="E30" s="132">
        <v>12</v>
      </c>
      <c r="F30" s="132">
        <v>13.5</v>
      </c>
      <c r="G30" s="144" t="s">
        <v>20</v>
      </c>
      <c r="H30" s="146"/>
      <c r="J30" s="129"/>
      <c r="K30" s="129"/>
    </row>
    <row r="31" spans="1:15">
      <c r="A31" s="178" t="s">
        <v>278</v>
      </c>
      <c r="B31" s="178"/>
      <c r="C31" s="178"/>
      <c r="D31" s="178"/>
      <c r="E31" s="178"/>
      <c r="F31" s="178"/>
      <c r="G31" s="178"/>
      <c r="H31" s="142"/>
      <c r="J31" s="129"/>
      <c r="K31" s="129"/>
    </row>
    <row r="32" spans="1:15">
      <c r="A32" s="143" t="s">
        <v>279</v>
      </c>
      <c r="B32" s="144" t="s">
        <v>280</v>
      </c>
      <c r="C32" s="143"/>
      <c r="D32" s="145">
        <v>2.48</v>
      </c>
      <c r="E32" s="145">
        <v>2.5</v>
      </c>
      <c r="F32" s="145">
        <v>2.52</v>
      </c>
      <c r="G32" s="144" t="s">
        <v>20</v>
      </c>
      <c r="H32" s="146"/>
      <c r="J32" s="129"/>
      <c r="K32" s="129"/>
    </row>
    <row r="33" spans="1:11">
      <c r="A33" s="143" t="s">
        <v>281</v>
      </c>
      <c r="B33" s="144" t="s">
        <v>282</v>
      </c>
      <c r="C33" s="143"/>
      <c r="D33" s="145" t="s">
        <v>237</v>
      </c>
      <c r="E33" s="145">
        <v>65</v>
      </c>
      <c r="F33" s="145" t="s">
        <v>237</v>
      </c>
      <c r="G33" s="144" t="s">
        <v>283</v>
      </c>
      <c r="H33" s="146"/>
      <c r="J33" s="129"/>
      <c r="K33" s="129"/>
    </row>
    <row r="34" spans="1:11">
      <c r="A34" s="143" t="s">
        <v>284</v>
      </c>
      <c r="B34" s="144" t="s">
        <v>285</v>
      </c>
      <c r="C34" s="143"/>
      <c r="D34" s="145">
        <v>280</v>
      </c>
      <c r="E34" s="145">
        <v>300</v>
      </c>
      <c r="F34" s="145">
        <v>320</v>
      </c>
      <c r="G34" s="144" t="s">
        <v>286</v>
      </c>
      <c r="H34" s="146"/>
      <c r="J34" s="129"/>
      <c r="K34" s="129"/>
    </row>
    <row r="35" spans="1:11">
      <c r="A35" s="143" t="s">
        <v>287</v>
      </c>
      <c r="B35" s="144" t="s">
        <v>288</v>
      </c>
      <c r="C35" s="143"/>
      <c r="D35" s="145">
        <v>190</v>
      </c>
      <c r="E35" s="145">
        <v>202</v>
      </c>
      <c r="F35" s="145">
        <v>214</v>
      </c>
      <c r="G35" s="144" t="s">
        <v>286</v>
      </c>
      <c r="H35" s="146"/>
      <c r="J35" s="129"/>
      <c r="K35" s="129"/>
    </row>
    <row r="36" spans="1:11">
      <c r="A36" s="143" t="s">
        <v>289</v>
      </c>
      <c r="B36" s="144" t="s">
        <v>290</v>
      </c>
      <c r="C36" s="143"/>
      <c r="D36" s="145" t="s">
        <v>237</v>
      </c>
      <c r="E36" s="145">
        <v>100</v>
      </c>
      <c r="F36" s="145" t="s">
        <v>237</v>
      </c>
      <c r="G36" s="144" t="s">
        <v>286</v>
      </c>
      <c r="H36" s="146"/>
      <c r="J36" s="129"/>
      <c r="K36" s="129"/>
    </row>
    <row r="37" spans="1:11">
      <c r="A37" s="178" t="s">
        <v>291</v>
      </c>
      <c r="B37" s="178"/>
      <c r="C37" s="178"/>
      <c r="D37" s="178"/>
      <c r="E37" s="178"/>
      <c r="F37" s="178"/>
      <c r="G37" s="178"/>
      <c r="H37" s="142"/>
      <c r="J37" s="129"/>
      <c r="K37" s="129"/>
    </row>
    <row r="38" spans="1:11">
      <c r="A38" s="143" t="s">
        <v>292</v>
      </c>
      <c r="B38" s="144"/>
      <c r="C38" s="143"/>
      <c r="D38" s="145" t="s">
        <v>237</v>
      </c>
      <c r="E38" s="145">
        <v>92</v>
      </c>
      <c r="F38" s="145" t="s">
        <v>237</v>
      </c>
      <c r="G38" s="144" t="s">
        <v>293</v>
      </c>
      <c r="H38" s="146"/>
      <c r="J38" s="129"/>
      <c r="K38" s="129"/>
    </row>
    <row r="39" spans="1:11">
      <c r="A39" s="143" t="s">
        <v>294</v>
      </c>
      <c r="B39" s="144" t="s">
        <v>295</v>
      </c>
      <c r="C39" s="143"/>
      <c r="D39" s="145">
        <v>50</v>
      </c>
      <c r="E39" s="145">
        <v>77</v>
      </c>
      <c r="F39" s="145">
        <v>104</v>
      </c>
      <c r="G39" s="144" t="s">
        <v>296</v>
      </c>
      <c r="H39" s="146"/>
      <c r="J39" s="129"/>
      <c r="K39" s="129"/>
    </row>
    <row r="40" spans="1:11">
      <c r="A40" s="143" t="s">
        <v>297</v>
      </c>
      <c r="B40" s="144"/>
      <c r="C40" s="143"/>
      <c r="D40" s="145" t="s">
        <v>237</v>
      </c>
      <c r="E40" s="145">
        <v>13</v>
      </c>
      <c r="F40" s="145" t="s">
        <v>237</v>
      </c>
      <c r="G40" s="144" t="s">
        <v>230</v>
      </c>
      <c r="H40" s="146"/>
      <c r="J40" s="129"/>
      <c r="K40" s="129"/>
    </row>
    <row r="41" spans="1:11">
      <c r="A41" s="143" t="s">
        <v>298</v>
      </c>
      <c r="B41" s="144" t="s">
        <v>299</v>
      </c>
      <c r="C41" s="143"/>
      <c r="D41" s="145">
        <v>0.95</v>
      </c>
      <c r="E41" s="145">
        <v>1.01</v>
      </c>
      <c r="F41" s="145">
        <v>1.07</v>
      </c>
      <c r="G41" s="144" t="s">
        <v>20</v>
      </c>
      <c r="H41" s="146"/>
      <c r="J41" s="129"/>
      <c r="K41" s="129"/>
    </row>
    <row r="42" spans="1:11">
      <c r="A42" s="143" t="s">
        <v>300</v>
      </c>
      <c r="B42" s="144" t="s">
        <v>301</v>
      </c>
      <c r="C42" s="143"/>
      <c r="D42" s="145">
        <v>0.57999999999999996</v>
      </c>
      <c r="E42" s="145">
        <v>0.64</v>
      </c>
      <c r="F42" s="145">
        <v>0.75</v>
      </c>
      <c r="G42" s="144" t="s">
        <v>20</v>
      </c>
      <c r="H42" s="146"/>
      <c r="J42" s="129"/>
      <c r="K42" s="129"/>
    </row>
    <row r="43" spans="1:11">
      <c r="A43" s="178" t="s">
        <v>302</v>
      </c>
      <c r="B43" s="178"/>
      <c r="C43" s="178"/>
      <c r="D43" s="178"/>
      <c r="E43" s="178"/>
      <c r="F43" s="178"/>
      <c r="G43" s="178"/>
      <c r="H43" s="142"/>
      <c r="J43" s="129"/>
      <c r="K43" s="129"/>
    </row>
    <row r="44" spans="1:11">
      <c r="A44" s="143" t="s">
        <v>303</v>
      </c>
      <c r="B44" s="144"/>
      <c r="C44" s="143"/>
      <c r="D44" s="145" t="s">
        <v>237</v>
      </c>
      <c r="E44" s="145">
        <v>9</v>
      </c>
      <c r="F44" s="145" t="s">
        <v>237</v>
      </c>
      <c r="G44" s="144" t="s">
        <v>283</v>
      </c>
      <c r="H44" s="146"/>
      <c r="J44" s="147"/>
      <c r="K44" s="147"/>
    </row>
    <row r="45" spans="1:11">
      <c r="A45" s="178" t="s">
        <v>304</v>
      </c>
      <c r="B45" s="178"/>
      <c r="C45" s="178"/>
      <c r="D45" s="178"/>
      <c r="E45" s="178"/>
      <c r="F45" s="178"/>
      <c r="G45" s="178"/>
      <c r="H45" s="142"/>
      <c r="J45" s="129"/>
      <c r="K45" s="129"/>
    </row>
    <row r="46" spans="1:11">
      <c r="A46" s="143" t="s">
        <v>305</v>
      </c>
      <c r="B46" s="144"/>
      <c r="C46" s="143" t="s">
        <v>306</v>
      </c>
      <c r="D46" s="145">
        <v>0.19600000000000001</v>
      </c>
      <c r="E46" s="145">
        <v>0.25</v>
      </c>
      <c r="F46" s="145">
        <v>0.29599999999999999</v>
      </c>
      <c r="G46" s="144" t="s">
        <v>307</v>
      </c>
      <c r="H46" s="146"/>
      <c r="J46" s="129"/>
      <c r="K46" s="129"/>
    </row>
    <row r="47" spans="1:11">
      <c r="A47" s="178" t="s">
        <v>308</v>
      </c>
      <c r="B47" s="178"/>
      <c r="C47" s="178"/>
      <c r="D47" s="178"/>
      <c r="E47" s="178"/>
      <c r="F47" s="178"/>
      <c r="G47" s="178"/>
      <c r="H47" s="142"/>
      <c r="J47" s="129"/>
      <c r="K47" s="129"/>
    </row>
    <row r="48" spans="1:11">
      <c r="A48" s="143" t="s">
        <v>309</v>
      </c>
      <c r="B48" s="144" t="s">
        <v>310</v>
      </c>
      <c r="C48" s="143" t="s">
        <v>311</v>
      </c>
      <c r="D48" s="145">
        <v>1.6</v>
      </c>
      <c r="E48" s="145">
        <v>1.9</v>
      </c>
      <c r="F48" s="145">
        <v>2.2000000000000002</v>
      </c>
      <c r="G48" s="144" t="s">
        <v>312</v>
      </c>
      <c r="H48" s="146"/>
      <c r="J48" s="129"/>
      <c r="K48" s="129"/>
    </row>
    <row r="49" spans="1:11">
      <c r="A49" s="143" t="s">
        <v>294</v>
      </c>
      <c r="B49" s="144" t="s">
        <v>313</v>
      </c>
      <c r="C49" s="143" t="s">
        <v>314</v>
      </c>
      <c r="D49" s="145">
        <v>205</v>
      </c>
      <c r="E49" s="145">
        <v>268</v>
      </c>
      <c r="F49" s="145">
        <v>331</v>
      </c>
      <c r="G49" s="144" t="s">
        <v>296</v>
      </c>
      <c r="H49" s="146"/>
      <c r="J49" s="129"/>
      <c r="K49" s="129"/>
    </row>
    <row r="50" spans="1:11">
      <c r="A50" s="143" t="s">
        <v>315</v>
      </c>
      <c r="B50" s="144"/>
      <c r="C50" s="143"/>
      <c r="D50" s="145" t="s">
        <v>237</v>
      </c>
      <c r="E50" s="145">
        <v>60</v>
      </c>
      <c r="F50" s="145" t="s">
        <v>237</v>
      </c>
      <c r="G50" s="144" t="s">
        <v>230</v>
      </c>
      <c r="H50" s="146"/>
      <c r="J50" s="129"/>
      <c r="K50" s="129"/>
    </row>
    <row r="51" spans="1:11">
      <c r="A51" s="143" t="s">
        <v>316</v>
      </c>
      <c r="B51" s="144"/>
      <c r="C51" s="143"/>
      <c r="D51" s="145">
        <v>-3</v>
      </c>
      <c r="E51" s="145">
        <v>2</v>
      </c>
      <c r="F51" s="145">
        <v>7</v>
      </c>
      <c r="G51" s="144" t="s">
        <v>286</v>
      </c>
      <c r="H51" s="146"/>
      <c r="J51" s="129"/>
      <c r="K51" s="129"/>
    </row>
    <row r="52" spans="1:11">
      <c r="A52" s="178" t="s">
        <v>317</v>
      </c>
      <c r="B52" s="178"/>
      <c r="C52" s="178"/>
      <c r="D52" s="178"/>
      <c r="E52" s="178"/>
      <c r="F52" s="178"/>
      <c r="G52" s="178"/>
      <c r="H52" s="142"/>
      <c r="J52" s="129"/>
      <c r="K52" s="129"/>
    </row>
    <row r="53" spans="1:11">
      <c r="A53" s="143" t="s">
        <v>318</v>
      </c>
      <c r="B53" s="144" t="s">
        <v>319</v>
      </c>
      <c r="C53" s="143"/>
      <c r="D53" s="145">
        <v>1.32</v>
      </c>
      <c r="E53" s="145">
        <v>1.36</v>
      </c>
      <c r="F53" s="145">
        <v>1.4</v>
      </c>
      <c r="G53" s="144" t="s">
        <v>20</v>
      </c>
      <c r="H53" s="146"/>
      <c r="J53" s="129"/>
      <c r="K53" s="129"/>
    </row>
    <row r="54" spans="1:11">
      <c r="A54" s="143" t="s">
        <v>320</v>
      </c>
      <c r="B54" s="144" t="s">
        <v>321</v>
      </c>
      <c r="C54" s="143"/>
      <c r="D54" s="145">
        <v>3.53</v>
      </c>
      <c r="E54" s="145">
        <v>3.85</v>
      </c>
      <c r="F54" s="145">
        <v>4.17</v>
      </c>
      <c r="G54" s="144" t="s">
        <v>20</v>
      </c>
      <c r="H54" s="146"/>
      <c r="J54" s="129"/>
      <c r="K54" s="129"/>
    </row>
    <row r="55" spans="1:11">
      <c r="A55" s="143" t="s">
        <v>322</v>
      </c>
      <c r="B55" s="144" t="s">
        <v>323</v>
      </c>
      <c r="C55" s="143"/>
      <c r="D55" s="145">
        <v>2.5</v>
      </c>
      <c r="E55" s="145">
        <v>2.83</v>
      </c>
      <c r="F55" s="145">
        <v>3.16</v>
      </c>
      <c r="G55" s="144" t="s">
        <v>20</v>
      </c>
      <c r="H55" s="146"/>
      <c r="J55" s="129"/>
      <c r="K55" s="129"/>
    </row>
    <row r="56" spans="1:11">
      <c r="A56" s="143" t="s">
        <v>324</v>
      </c>
      <c r="B56" s="144" t="s">
        <v>325</v>
      </c>
      <c r="C56" s="143" t="s">
        <v>326</v>
      </c>
      <c r="D56" s="145">
        <v>87</v>
      </c>
      <c r="E56" s="145">
        <v>88</v>
      </c>
      <c r="F56" s="145">
        <v>89</v>
      </c>
      <c r="G56" s="144" t="s">
        <v>10</v>
      </c>
      <c r="H56" s="146"/>
      <c r="J56" s="129"/>
      <c r="K56" s="147"/>
    </row>
    <row r="57" spans="1:11">
      <c r="A57" s="143" t="s">
        <v>327</v>
      </c>
      <c r="B57" s="144" t="s">
        <v>328</v>
      </c>
      <c r="C57" s="143" t="s">
        <v>329</v>
      </c>
      <c r="D57" s="145">
        <v>-38</v>
      </c>
      <c r="E57" s="145">
        <v>-29</v>
      </c>
      <c r="F57" s="145">
        <v>-20</v>
      </c>
      <c r="G57" s="144" t="s">
        <v>230</v>
      </c>
      <c r="H57" s="146"/>
      <c r="J57" s="129"/>
      <c r="K57" s="129"/>
    </row>
    <row r="58" spans="1:11">
      <c r="A58" s="178" t="s">
        <v>330</v>
      </c>
      <c r="B58" s="178"/>
      <c r="C58" s="178"/>
      <c r="D58" s="178"/>
      <c r="E58" s="178"/>
      <c r="F58" s="178"/>
      <c r="G58" s="178"/>
      <c r="H58" s="142"/>
      <c r="J58" s="129"/>
      <c r="K58" s="129"/>
    </row>
    <row r="59" spans="1:11">
      <c r="A59" s="143" t="s">
        <v>331</v>
      </c>
      <c r="B59" s="144" t="s">
        <v>332</v>
      </c>
      <c r="C59" s="143"/>
      <c r="D59" s="145">
        <v>478</v>
      </c>
      <c r="E59" s="145">
        <v>494</v>
      </c>
      <c r="F59" s="145">
        <v>510</v>
      </c>
      <c r="G59" s="144" t="s">
        <v>286</v>
      </c>
      <c r="H59" s="146"/>
      <c r="J59" s="129"/>
      <c r="K59" s="129"/>
    </row>
    <row r="60" spans="1:11">
      <c r="A60" s="143" t="s">
        <v>333</v>
      </c>
      <c r="B60" s="144" t="s">
        <v>334</v>
      </c>
      <c r="C60" s="143"/>
      <c r="D60" s="145">
        <v>387</v>
      </c>
      <c r="E60" s="145">
        <v>401</v>
      </c>
      <c r="F60" s="145">
        <v>415</v>
      </c>
      <c r="G60" s="130" t="s">
        <v>286</v>
      </c>
      <c r="H60" s="146"/>
      <c r="J60" s="129"/>
      <c r="K60" s="129"/>
    </row>
    <row r="61" spans="1:11">
      <c r="A61" s="178" t="s">
        <v>335</v>
      </c>
      <c r="B61" s="178"/>
      <c r="C61" s="178"/>
      <c r="D61" s="178"/>
      <c r="E61" s="178"/>
      <c r="F61" s="178"/>
      <c r="G61" s="178"/>
      <c r="H61" s="146"/>
      <c r="J61" s="129"/>
      <c r="K61" s="129"/>
    </row>
    <row r="62" spans="1:11">
      <c r="A62" s="143" t="s">
        <v>336</v>
      </c>
      <c r="B62" s="144" t="s">
        <v>337</v>
      </c>
      <c r="C62" s="143" t="s">
        <v>338</v>
      </c>
      <c r="D62" s="145">
        <v>102.9</v>
      </c>
      <c r="E62" s="145">
        <v>104.1</v>
      </c>
      <c r="F62" s="145">
        <v>105.3</v>
      </c>
      <c r="G62" s="144" t="s">
        <v>10</v>
      </c>
      <c r="H62" s="146"/>
      <c r="J62" s="129"/>
      <c r="K62" s="129"/>
    </row>
    <row r="63" spans="1:11">
      <c r="A63" s="178" t="s">
        <v>339</v>
      </c>
      <c r="B63" s="178"/>
      <c r="C63" s="178"/>
      <c r="D63" s="178"/>
      <c r="E63" s="178"/>
      <c r="F63" s="178"/>
      <c r="G63" s="178"/>
      <c r="H63" s="142"/>
      <c r="J63" s="129"/>
      <c r="K63" s="129"/>
    </row>
    <row r="64" spans="1:11">
      <c r="A64" s="143" t="s">
        <v>340</v>
      </c>
      <c r="B64" s="144" t="s">
        <v>341</v>
      </c>
      <c r="C64" s="143"/>
      <c r="D64" s="145">
        <v>-197</v>
      </c>
      <c r="E64" s="145">
        <v>-177</v>
      </c>
      <c r="F64" s="145">
        <v>-159</v>
      </c>
      <c r="G64" s="144" t="s">
        <v>230</v>
      </c>
      <c r="H64" s="146"/>
      <c r="J64" s="147"/>
      <c r="K64" s="147"/>
    </row>
    <row r="65" spans="1:11">
      <c r="A65" s="178" t="s">
        <v>342</v>
      </c>
      <c r="B65" s="178"/>
      <c r="C65" s="178"/>
      <c r="D65" s="178"/>
      <c r="E65" s="178"/>
      <c r="F65" s="178"/>
      <c r="G65" s="178"/>
      <c r="H65" s="142"/>
      <c r="J65" s="129"/>
      <c r="K65" s="129"/>
    </row>
    <row r="66" spans="1:11">
      <c r="A66" s="143" t="s">
        <v>343</v>
      </c>
      <c r="B66" s="144"/>
      <c r="C66" s="143"/>
      <c r="D66" s="145" t="s">
        <v>237</v>
      </c>
      <c r="E66" s="145">
        <v>160</v>
      </c>
      <c r="F66" s="145" t="s">
        <v>237</v>
      </c>
      <c r="G66" s="144" t="s">
        <v>344</v>
      </c>
      <c r="H66" s="146"/>
      <c r="J66" s="129"/>
      <c r="K66" s="129"/>
    </row>
    <row r="67" spans="1:11">
      <c r="A67" s="143" t="s">
        <v>345</v>
      </c>
      <c r="B67" s="144"/>
      <c r="C67" s="143"/>
      <c r="D67" s="145" t="s">
        <v>237</v>
      </c>
      <c r="E67" s="145">
        <v>25</v>
      </c>
      <c r="F67" s="145" t="s">
        <v>237</v>
      </c>
      <c r="G67" s="144" t="s">
        <v>344</v>
      </c>
      <c r="H67" s="146"/>
      <c r="J67" s="129"/>
      <c r="K67" s="129"/>
    </row>
    <row r="69" spans="1:11">
      <c r="A69" s="136" t="s">
        <v>374</v>
      </c>
    </row>
    <row r="70" spans="1:11">
      <c r="A70" s="136" t="s">
        <v>346</v>
      </c>
    </row>
    <row r="71" spans="1:11">
      <c r="A71" s="136" t="s">
        <v>347</v>
      </c>
    </row>
    <row r="72" spans="1:11">
      <c r="A72" s="136" t="s">
        <v>348</v>
      </c>
    </row>
  </sheetData>
  <mergeCells count="18">
    <mergeCell ref="A58:G58"/>
    <mergeCell ref="A61:G61"/>
    <mergeCell ref="A63:G63"/>
    <mergeCell ref="A65:G65"/>
    <mergeCell ref="A47:G47"/>
    <mergeCell ref="A52:G52"/>
    <mergeCell ref="A1:G1"/>
    <mergeCell ref="A31:G31"/>
    <mergeCell ref="A37:G37"/>
    <mergeCell ref="A43:G43"/>
    <mergeCell ref="A45:G45"/>
    <mergeCell ref="A4:G4"/>
    <mergeCell ref="A9:G9"/>
    <mergeCell ref="A13:G13"/>
    <mergeCell ref="A16:G16"/>
    <mergeCell ref="A18:G18"/>
    <mergeCell ref="A24:G24"/>
    <mergeCell ref="A2:G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J145"/>
  <sheetViews>
    <sheetView tabSelected="1" zoomScale="85" zoomScaleNormal="85" workbookViewId="0">
      <selection activeCell="I141" sqref="I141"/>
    </sheetView>
  </sheetViews>
  <sheetFormatPr defaultRowHeight="15"/>
  <cols>
    <col min="1" max="1" width="21.42578125" customWidth="1"/>
    <col min="2" max="2" width="13.140625" customWidth="1"/>
    <col min="3" max="3" width="17.140625" customWidth="1"/>
    <col min="4" max="4" width="12.5703125" bestFit="1" customWidth="1"/>
    <col min="5" max="5" width="11.85546875" customWidth="1"/>
    <col min="6" max="6" width="11.140625" customWidth="1"/>
    <col min="9" max="9" width="50.140625" style="8" customWidth="1"/>
    <col min="10" max="10" width="71.5703125" customWidth="1"/>
    <col min="11" max="11" width="19.5703125" bestFit="1" customWidth="1"/>
    <col min="12" max="12" width="10" bestFit="1" customWidth="1"/>
    <col min="13" max="13" width="16.85546875" bestFit="1" customWidth="1"/>
    <col min="14" max="14" width="10" bestFit="1" customWidth="1"/>
    <col min="15" max="15" width="8.7109375" bestFit="1" customWidth="1"/>
  </cols>
  <sheetData>
    <row r="1" spans="1:9" ht="21">
      <c r="A1" s="180" t="s">
        <v>375</v>
      </c>
      <c r="B1" s="180"/>
      <c r="C1" s="180"/>
      <c r="D1" s="180"/>
      <c r="E1" s="180"/>
      <c r="F1" s="180"/>
      <c r="G1" s="180"/>
      <c r="H1" s="180"/>
      <c r="I1" s="180"/>
    </row>
    <row r="2" spans="1:9" ht="83.25" customHeight="1">
      <c r="A2" s="181" t="s">
        <v>380</v>
      </c>
      <c r="B2" s="182"/>
      <c r="C2" s="182"/>
      <c r="D2" s="182"/>
      <c r="E2" s="182"/>
      <c r="F2" s="182"/>
      <c r="G2" s="182"/>
      <c r="H2" s="182"/>
      <c r="I2" s="182"/>
    </row>
    <row r="4" spans="1:9">
      <c r="A4" s="209" t="s">
        <v>361</v>
      </c>
      <c r="B4" s="3"/>
    </row>
    <row r="5" spans="1:9">
      <c r="A5" s="2" t="s">
        <v>350</v>
      </c>
      <c r="B5" s="2" t="s">
        <v>351</v>
      </c>
      <c r="C5" s="2" t="s">
        <v>352</v>
      </c>
      <c r="D5" s="2" t="s">
        <v>353</v>
      </c>
      <c r="E5" s="2" t="s">
        <v>354</v>
      </c>
    </row>
    <row r="6" spans="1:9">
      <c r="A6" s="1" t="s">
        <v>355</v>
      </c>
      <c r="B6" s="1" t="s">
        <v>356</v>
      </c>
      <c r="C6" s="1" t="s">
        <v>357</v>
      </c>
      <c r="D6" s="1" t="s">
        <v>356</v>
      </c>
      <c r="E6" s="1" t="s">
        <v>357</v>
      </c>
    </row>
    <row r="7" spans="1:9">
      <c r="A7" s="1" t="s">
        <v>358</v>
      </c>
      <c r="B7" s="1" t="s">
        <v>359</v>
      </c>
      <c r="C7" s="1" t="s">
        <v>359</v>
      </c>
      <c r="D7" s="1" t="s">
        <v>360</v>
      </c>
      <c r="E7" s="1" t="s">
        <v>360</v>
      </c>
    </row>
    <row r="8" spans="1:9">
      <c r="A8" s="3"/>
      <c r="B8" s="3"/>
      <c r="C8" s="3"/>
      <c r="D8" s="3"/>
      <c r="E8" s="3"/>
    </row>
    <row r="9" spans="1:9">
      <c r="A9" s="209" t="s">
        <v>366</v>
      </c>
      <c r="E9" s="3"/>
    </row>
    <row r="10" spans="1:9">
      <c r="A10" s="2" t="s">
        <v>362</v>
      </c>
      <c r="B10" s="2" t="s">
        <v>363</v>
      </c>
      <c r="C10" s="2" t="s">
        <v>364</v>
      </c>
      <c r="D10" s="2" t="s">
        <v>365</v>
      </c>
      <c r="E10" s="3"/>
    </row>
    <row r="11" spans="1:9">
      <c r="A11" s="1" t="s">
        <v>378</v>
      </c>
      <c r="B11" s="1">
        <v>0.68</v>
      </c>
      <c r="C11" s="1">
        <v>0.33</v>
      </c>
      <c r="D11" s="1">
        <v>0.22</v>
      </c>
      <c r="E11" s="3"/>
    </row>
    <row r="13" spans="1:9">
      <c r="A13" s="209" t="s">
        <v>174</v>
      </c>
    </row>
    <row r="14" spans="1:9">
      <c r="A14" s="2" t="s">
        <v>0</v>
      </c>
      <c r="B14" s="2" t="s">
        <v>379</v>
      </c>
      <c r="C14" s="2" t="s">
        <v>1</v>
      </c>
      <c r="D14" s="2" t="s">
        <v>2</v>
      </c>
      <c r="E14" s="2" t="s">
        <v>3</v>
      </c>
      <c r="F14" s="2" t="s">
        <v>4</v>
      </c>
    </row>
    <row r="15" spans="1:9">
      <c r="A15" s="1" t="s">
        <v>11</v>
      </c>
      <c r="B15" s="1"/>
      <c r="C15" s="16">
        <v>85</v>
      </c>
      <c r="D15" s="1">
        <v>115</v>
      </c>
      <c r="E15" s="16">
        <v>265</v>
      </c>
      <c r="F15" s="1" t="s">
        <v>5</v>
      </c>
      <c r="G15" s="3"/>
      <c r="H15" s="6"/>
    </row>
    <row r="16" spans="1:9">
      <c r="A16" s="1" t="s">
        <v>12</v>
      </c>
      <c r="B16" s="1"/>
      <c r="C16" s="1">
        <v>47</v>
      </c>
      <c r="D16" s="16">
        <v>50</v>
      </c>
      <c r="E16" s="1">
        <v>63</v>
      </c>
      <c r="F16" s="1" t="s">
        <v>6</v>
      </c>
    </row>
    <row r="17" spans="1:9">
      <c r="A17" s="1" t="s">
        <v>13</v>
      </c>
      <c r="B17" s="1"/>
      <c r="C17" s="1"/>
      <c r="D17" s="1"/>
      <c r="E17" s="16">
        <v>300</v>
      </c>
      <c r="F17" s="1" t="s">
        <v>8</v>
      </c>
    </row>
    <row r="18" spans="1:9">
      <c r="A18" s="1" t="s">
        <v>14</v>
      </c>
      <c r="B18" s="1"/>
      <c r="C18" s="1"/>
      <c r="D18" s="16">
        <v>20</v>
      </c>
      <c r="E18" s="1"/>
      <c r="F18" s="1" t="s">
        <v>9</v>
      </c>
    </row>
    <row r="19" spans="1:9">
      <c r="A19" s="1" t="s">
        <v>7</v>
      </c>
      <c r="B19" s="1"/>
      <c r="C19" s="16">
        <v>92</v>
      </c>
      <c r="D19" s="1"/>
      <c r="E19" s="1"/>
      <c r="F19" s="1" t="s">
        <v>10</v>
      </c>
    </row>
    <row r="20" spans="1:9">
      <c r="A20" s="4" t="s">
        <v>19</v>
      </c>
      <c r="B20" s="1"/>
      <c r="C20" s="1"/>
      <c r="D20" s="16">
        <v>390</v>
      </c>
      <c r="E20" s="1"/>
      <c r="F20" s="4" t="s">
        <v>20</v>
      </c>
    </row>
    <row r="21" spans="1:9">
      <c r="A21" s="4" t="s">
        <v>39</v>
      </c>
      <c r="B21" s="1"/>
      <c r="C21" s="1"/>
      <c r="D21" s="16">
        <v>62</v>
      </c>
      <c r="E21" s="1"/>
      <c r="F21" s="4" t="s">
        <v>21</v>
      </c>
    </row>
    <row r="22" spans="1:9">
      <c r="B22" s="6"/>
      <c r="C22" s="3"/>
      <c r="D22" s="3"/>
      <c r="E22" s="3"/>
      <c r="F22" s="3"/>
      <c r="G22" s="6"/>
    </row>
    <row r="23" spans="1:9">
      <c r="B23" s="6" t="s">
        <v>168</v>
      </c>
      <c r="D23" s="3"/>
      <c r="E23" s="6">
        <v>3.1415926999999999</v>
      </c>
      <c r="F23" s="3" t="s">
        <v>169</v>
      </c>
      <c r="G23" s="6"/>
    </row>
    <row r="24" spans="1:9">
      <c r="A24" t="s">
        <v>24</v>
      </c>
      <c r="D24" s="3"/>
    </row>
    <row r="25" spans="1:9">
      <c r="B25" t="s">
        <v>15</v>
      </c>
      <c r="D25" s="6">
        <f>ROUND(100*Pomax/Eff/Vrms_min,2)</f>
        <v>3.84</v>
      </c>
      <c r="E25" t="s">
        <v>16</v>
      </c>
      <c r="G25" t="s">
        <v>17</v>
      </c>
    </row>
    <row r="26" spans="1:9">
      <c r="B26" t="s">
        <v>18</v>
      </c>
      <c r="D26" s="222">
        <f>(SQRT(2)*Vrms_min/(0.4*Fsw*1000*SQRT(2)*Iinmax)*(1-SQRT(2)*Vrms_min/Vout)*1000000)</f>
        <v>617.44778236184334</v>
      </c>
      <c r="E26" t="s">
        <v>369</v>
      </c>
      <c r="G26" t="s">
        <v>22</v>
      </c>
    </row>
    <row r="27" spans="1:9">
      <c r="B27" s="15" t="s">
        <v>26</v>
      </c>
      <c r="D27" s="223">
        <f>ROUND(D26,0)</f>
        <v>617</v>
      </c>
      <c r="E27" t="s">
        <v>369</v>
      </c>
    </row>
    <row r="28" spans="1:9">
      <c r="B28" t="s">
        <v>71</v>
      </c>
      <c r="D28">
        <f>ROUND((SQRT(2)*Iinmax*(1+0.4/2)),1)</f>
        <v>6.5</v>
      </c>
      <c r="E28" t="s">
        <v>16</v>
      </c>
      <c r="G28" t="s">
        <v>23</v>
      </c>
    </row>
    <row r="30" spans="1:9">
      <c r="A30" t="s">
        <v>25</v>
      </c>
    </row>
    <row r="31" spans="1:9">
      <c r="B31" t="s">
        <v>70</v>
      </c>
      <c r="D31" s="7">
        <f>2*SQRT(2)*Iinmax/PI</f>
        <v>3.4572146029704522</v>
      </c>
      <c r="E31" t="s">
        <v>16</v>
      </c>
      <c r="G31" t="s">
        <v>27</v>
      </c>
    </row>
    <row r="32" spans="1:9" ht="30">
      <c r="B32" t="s">
        <v>69</v>
      </c>
      <c r="D32" s="210">
        <v>1</v>
      </c>
      <c r="E32" t="s">
        <v>28</v>
      </c>
      <c r="I32" s="8" t="s">
        <v>376</v>
      </c>
    </row>
    <row r="33" spans="1:9">
      <c r="B33" t="s">
        <v>68</v>
      </c>
      <c r="D33" s="7">
        <f>Vfbr*2*Iinave_max</f>
        <v>6.9144292059409045</v>
      </c>
      <c r="E33" t="s">
        <v>29</v>
      </c>
      <c r="G33" t="s">
        <v>30</v>
      </c>
    </row>
    <row r="35" spans="1:9">
      <c r="A35" t="s">
        <v>31</v>
      </c>
    </row>
    <row r="36" spans="1:9">
      <c r="B36" t="s">
        <v>67</v>
      </c>
      <c r="D36" s="13">
        <f>IF(Pomax&lt;100, 0.68, IF(Pomax&lt;500, 0.33, 0.22))</f>
        <v>0.33</v>
      </c>
      <c r="E36" t="s">
        <v>370</v>
      </c>
      <c r="I36" s="8" t="s">
        <v>377</v>
      </c>
    </row>
    <row r="37" spans="1:9">
      <c r="B37" t="s">
        <v>66</v>
      </c>
      <c r="D37" s="224">
        <f>Pomax/100*Kc</f>
        <v>0.99</v>
      </c>
      <c r="E37" t="s">
        <v>371</v>
      </c>
      <c r="G37" t="s">
        <v>32</v>
      </c>
    </row>
    <row r="38" spans="1:9">
      <c r="B38" t="s">
        <v>33</v>
      </c>
      <c r="D38" s="225">
        <f>2*0.47</f>
        <v>0.94</v>
      </c>
      <c r="E38" t="s">
        <v>371</v>
      </c>
    </row>
    <row r="40" spans="1:9">
      <c r="A40" t="s">
        <v>34</v>
      </c>
    </row>
    <row r="41" spans="1:9">
      <c r="B41" t="s">
        <v>167</v>
      </c>
      <c r="D41" s="11">
        <f>Pomax/Vout</f>
        <v>0.76923076923076927</v>
      </c>
      <c r="E41" t="s">
        <v>16</v>
      </c>
      <c r="G41" t="s">
        <v>35</v>
      </c>
    </row>
    <row r="42" spans="1:9" ht="30">
      <c r="B42" t="s">
        <v>53</v>
      </c>
      <c r="D42" s="210">
        <v>1.85</v>
      </c>
      <c r="E42" t="s">
        <v>28</v>
      </c>
      <c r="I42" s="8" t="s">
        <v>36</v>
      </c>
    </row>
    <row r="43" spans="1:9">
      <c r="B43" t="s">
        <v>54</v>
      </c>
      <c r="D43" s="14">
        <f>Iout_max*Vf</f>
        <v>1.4230769230769231</v>
      </c>
      <c r="E43" t="s">
        <v>29</v>
      </c>
      <c r="G43" t="s">
        <v>42</v>
      </c>
    </row>
    <row r="44" spans="1:9">
      <c r="B44" t="s">
        <v>55</v>
      </c>
      <c r="D44" s="210">
        <v>220</v>
      </c>
      <c r="E44" t="s">
        <v>37</v>
      </c>
      <c r="I44" t="s">
        <v>38</v>
      </c>
    </row>
    <row r="45" spans="1:9">
      <c r="B45" t="s">
        <v>56</v>
      </c>
      <c r="D45" s="9">
        <f>0.25*Qrr*0.000001*Vout*Fsw</f>
        <v>1.3298999999999999</v>
      </c>
      <c r="E45" t="s">
        <v>29</v>
      </c>
      <c r="G45" t="s">
        <v>41</v>
      </c>
    </row>
    <row r="46" spans="1:9">
      <c r="B46" t="s">
        <v>57</v>
      </c>
      <c r="D46" s="9">
        <f>Pfd+Prrd</f>
        <v>2.7529769230769228</v>
      </c>
      <c r="E46" t="s">
        <v>29</v>
      </c>
      <c r="G46" t="s">
        <v>40</v>
      </c>
    </row>
    <row r="48" spans="1:9">
      <c r="A48" t="s">
        <v>43</v>
      </c>
    </row>
    <row r="49" spans="1:10">
      <c r="B49" t="s">
        <v>58</v>
      </c>
      <c r="D49" s="7">
        <f>Iinmax*SQRT(1-(8*SQRT(2)*Vrms_min)/(3*PI*Vout))</f>
        <v>3.2996519648590361</v>
      </c>
      <c r="E49" t="s">
        <v>16</v>
      </c>
      <c r="G49" t="s">
        <v>44</v>
      </c>
    </row>
    <row r="50" spans="1:10">
      <c r="B50" t="s">
        <v>59</v>
      </c>
      <c r="D50" s="16">
        <v>0.3</v>
      </c>
      <c r="E50" t="s">
        <v>105</v>
      </c>
    </row>
    <row r="51" spans="1:10">
      <c r="B51" t="s">
        <v>60</v>
      </c>
      <c r="D51" s="9">
        <f>Ids_max^2*Rds_on</f>
        <v>3.2663109267594295</v>
      </c>
      <c r="E51" t="s">
        <v>29</v>
      </c>
      <c r="G51" t="s">
        <v>45</v>
      </c>
    </row>
    <row r="52" spans="1:10">
      <c r="B52" t="s">
        <v>61</v>
      </c>
      <c r="D52" s="16">
        <v>1.4999999999999999E-2</v>
      </c>
      <c r="E52" t="s">
        <v>46</v>
      </c>
      <c r="I52" s="214" t="s">
        <v>47</v>
      </c>
    </row>
    <row r="53" spans="1:10">
      <c r="B53" t="s">
        <v>173</v>
      </c>
      <c r="D53" s="16">
        <v>7.0000000000000001E-3</v>
      </c>
      <c r="E53" t="s">
        <v>46</v>
      </c>
      <c r="I53" s="214"/>
    </row>
    <row r="54" spans="1:10">
      <c r="B54" t="s">
        <v>62</v>
      </c>
      <c r="D54" s="9">
        <f>(Eon+Eoff)*Fsw</f>
        <v>1.3639999999999999</v>
      </c>
      <c r="E54" t="s">
        <v>29</v>
      </c>
      <c r="G54" t="s">
        <v>48</v>
      </c>
    </row>
    <row r="55" spans="1:10" ht="30">
      <c r="B55" t="s">
        <v>63</v>
      </c>
      <c r="D55" s="16">
        <v>220</v>
      </c>
      <c r="E55" t="s">
        <v>37</v>
      </c>
      <c r="I55" s="8" t="s">
        <v>49</v>
      </c>
      <c r="J55" s="8"/>
    </row>
    <row r="56" spans="1:10">
      <c r="B56" t="s">
        <v>64</v>
      </c>
      <c r="D56" s="9">
        <f>Qrr*Vout*Fsw*0.000001</f>
        <v>5.3195999999999994</v>
      </c>
      <c r="E56" t="s">
        <v>29</v>
      </c>
      <c r="G56" t="s">
        <v>50</v>
      </c>
    </row>
    <row r="57" spans="1:10">
      <c r="A57" t="s">
        <v>51</v>
      </c>
    </row>
    <row r="58" spans="1:10">
      <c r="B58" t="s">
        <v>65</v>
      </c>
      <c r="D58" s="9">
        <f>Pcond+Psw+Prr</f>
        <v>9.9499109267594292</v>
      </c>
      <c r="E58" t="s">
        <v>29</v>
      </c>
      <c r="G58" t="s">
        <v>52</v>
      </c>
    </row>
    <row r="60" spans="1:10">
      <c r="A60" t="s">
        <v>72</v>
      </c>
    </row>
    <row r="61" spans="1:10">
      <c r="B61" t="s">
        <v>73</v>
      </c>
      <c r="D61" s="16">
        <v>300</v>
      </c>
      <c r="E61" t="s">
        <v>28</v>
      </c>
    </row>
    <row r="62" spans="1:10">
      <c r="B62" t="s">
        <v>74</v>
      </c>
      <c r="D62" s="217">
        <f>2*Thold*Pomax/(Vout^2-Vhold^2)*1000 * (1/(1-20%))</f>
        <v>241.54589371980677</v>
      </c>
      <c r="E62" t="s">
        <v>371</v>
      </c>
      <c r="G62" t="s">
        <v>75</v>
      </c>
    </row>
    <row r="63" spans="1:10">
      <c r="B63" t="s">
        <v>76</v>
      </c>
      <c r="D63" s="223">
        <v>270</v>
      </c>
      <c r="E63" t="s">
        <v>371</v>
      </c>
    </row>
    <row r="64" spans="1:10" ht="30">
      <c r="B64" t="s">
        <v>166</v>
      </c>
      <c r="D64" s="10">
        <f>Iout_max*SQRT((8*SQRT(2)*Vout)/(3*PI*Vrms_min)-1)</f>
        <v>1.6332016297512328</v>
      </c>
      <c r="E64" t="s">
        <v>16</v>
      </c>
      <c r="G64" t="s">
        <v>84</v>
      </c>
      <c r="I64" s="8" t="s">
        <v>381</v>
      </c>
      <c r="J64" s="8"/>
    </row>
    <row r="65" spans="1:9">
      <c r="B65" t="s">
        <v>77</v>
      </c>
      <c r="D65" s="16">
        <v>0.77</v>
      </c>
      <c r="E65" t="s">
        <v>105</v>
      </c>
    </row>
    <row r="66" spans="1:9">
      <c r="B66" t="s">
        <v>78</v>
      </c>
      <c r="D66" s="109">
        <f>Iout_max*SQRT((4*PI*Fline*(Cout*0.000001)*ESR)^2+1)/(4*PI*Fline*(Cout*0.000001))/0.8</f>
        <v>5.7160637178389662</v>
      </c>
      <c r="E66" t="s">
        <v>28</v>
      </c>
      <c r="F66" s="5"/>
      <c r="G66" t="s">
        <v>83</v>
      </c>
    </row>
    <row r="68" spans="1:9">
      <c r="A68" t="s">
        <v>79</v>
      </c>
    </row>
    <row r="69" spans="1:9">
      <c r="B69" t="s">
        <v>80</v>
      </c>
      <c r="D69" s="215">
        <f>0.12*Vrms_max*Eff_min*0.01/SQRT(2)/Pomax</f>
        <v>6.8957053301312105E-2</v>
      </c>
      <c r="E69" t="s">
        <v>105</v>
      </c>
      <c r="G69" t="s">
        <v>82</v>
      </c>
    </row>
    <row r="70" spans="1:9">
      <c r="B70" t="s">
        <v>26</v>
      </c>
      <c r="D70" s="223">
        <v>6.8000000000000005E-2</v>
      </c>
      <c r="E70" t="s">
        <v>105</v>
      </c>
    </row>
    <row r="71" spans="1:9">
      <c r="B71" t="s">
        <v>165</v>
      </c>
      <c r="D71" s="10">
        <f>Iinmax^2*Rcs</f>
        <v>1.0027007999999999</v>
      </c>
      <c r="E71" t="s">
        <v>29</v>
      </c>
      <c r="G71" t="s">
        <v>81</v>
      </c>
    </row>
    <row r="72" spans="1:9">
      <c r="B72" t="s">
        <v>86</v>
      </c>
      <c r="D72" s="16">
        <v>-180</v>
      </c>
      <c r="E72" t="s">
        <v>87</v>
      </c>
    </row>
    <row r="73" spans="1:9">
      <c r="B73" t="s">
        <v>85</v>
      </c>
      <c r="D73" s="215">
        <f>Rcs*Ilpeak*(1+0.25)/(-Ioc*0.000001)*0.001</f>
        <v>3.0694444444444455</v>
      </c>
      <c r="E73" t="s">
        <v>104</v>
      </c>
      <c r="G73" t="s">
        <v>88</v>
      </c>
    </row>
    <row r="74" spans="1:9">
      <c r="B74" t="s">
        <v>33</v>
      </c>
      <c r="D74" s="216">
        <v>3.117</v>
      </c>
      <c r="E74" t="s">
        <v>104</v>
      </c>
    </row>
    <row r="76" spans="1:9" ht="15.75" thickBot="1"/>
    <row r="77" spans="1:9">
      <c r="A77" s="89" t="s">
        <v>89</v>
      </c>
      <c r="B77" s="90"/>
      <c r="C77" s="90"/>
      <c r="D77" s="90"/>
      <c r="E77" s="90"/>
      <c r="F77" s="90"/>
      <c r="G77" s="90"/>
      <c r="H77" s="90"/>
      <c r="I77" s="211"/>
    </row>
    <row r="78" spans="1:9">
      <c r="A78" s="91"/>
      <c r="B78" s="3" t="s">
        <v>164</v>
      </c>
      <c r="C78" s="3"/>
      <c r="D78" s="92">
        <f>Fsw/6</f>
        <v>10.333333333333334</v>
      </c>
      <c r="E78" s="3" t="s">
        <v>90</v>
      </c>
      <c r="F78" s="3"/>
      <c r="G78" s="93" t="s">
        <v>94</v>
      </c>
      <c r="H78" s="3"/>
      <c r="I78" s="212"/>
    </row>
    <row r="79" spans="1:9">
      <c r="A79" s="91"/>
      <c r="B79" s="3" t="s">
        <v>163</v>
      </c>
      <c r="C79" s="3"/>
      <c r="D79" s="3">
        <f>Fsw/2</f>
        <v>31</v>
      </c>
      <c r="E79" s="3" t="s">
        <v>90</v>
      </c>
      <c r="F79" s="3"/>
      <c r="G79" s="93" t="s">
        <v>95</v>
      </c>
      <c r="H79" s="3"/>
      <c r="I79" s="212"/>
    </row>
    <row r="80" spans="1:9">
      <c r="A80" s="91"/>
      <c r="B80" s="3" t="s">
        <v>162</v>
      </c>
      <c r="C80" s="3"/>
      <c r="D80" s="218">
        <v>60</v>
      </c>
      <c r="E80" s="3" t="s">
        <v>91</v>
      </c>
      <c r="F80" s="3"/>
      <c r="G80" s="3"/>
      <c r="H80" s="3"/>
      <c r="I80" s="212"/>
    </row>
    <row r="81" spans="1:9">
      <c r="A81" s="91"/>
      <c r="B81" s="3" t="s">
        <v>161</v>
      </c>
      <c r="C81" s="3"/>
      <c r="D81" s="92">
        <f>Fc/TAN(ATAN(Fc/Fp0)+PMC*PI/180)</f>
        <v>2.1145607353248299</v>
      </c>
      <c r="E81" s="3" t="s">
        <v>90</v>
      </c>
      <c r="F81" s="3"/>
      <c r="G81" s="3" t="s">
        <v>93</v>
      </c>
      <c r="H81" s="3">
        <f>TAN(J74)</f>
        <v>0</v>
      </c>
      <c r="I81" s="212"/>
    </row>
    <row r="82" spans="1:9">
      <c r="A82" s="91"/>
      <c r="B82" s="3"/>
      <c r="C82" s="3"/>
      <c r="D82" s="3"/>
      <c r="E82" s="3"/>
      <c r="F82" s="3"/>
      <c r="G82" s="3"/>
      <c r="H82" s="3"/>
      <c r="I82" s="212"/>
    </row>
    <row r="83" spans="1:9">
      <c r="A83" s="91"/>
      <c r="B83" s="3" t="s">
        <v>160</v>
      </c>
      <c r="C83" s="3"/>
      <c r="D83" s="16">
        <v>1.5</v>
      </c>
      <c r="E83" s="3" t="s">
        <v>28</v>
      </c>
      <c r="F83" s="3"/>
      <c r="G83" s="3"/>
      <c r="H83" s="3"/>
      <c r="I83" s="212"/>
    </row>
    <row r="84" spans="1:9">
      <c r="A84" s="91"/>
      <c r="B84" s="3" t="s">
        <v>159</v>
      </c>
      <c r="C84" s="3"/>
      <c r="D84" s="16">
        <v>1.9</v>
      </c>
      <c r="E84" s="3"/>
      <c r="F84" s="3"/>
      <c r="G84" s="3"/>
      <c r="H84" s="3"/>
      <c r="I84" s="212"/>
    </row>
    <row r="85" spans="1:9">
      <c r="A85" s="91"/>
      <c r="B85" s="3" t="s">
        <v>92</v>
      </c>
      <c r="C85" s="3"/>
      <c r="D85" s="226">
        <f>Vout*Aidc*Rcs/(Lbst*(2*PI*Fc)^2*Vm*Rsen)*SQRT(((Fc/Fz0)^2+1)/((Fc/Fp0)^2+1))*1000000</f>
        <v>19.607521474680915</v>
      </c>
      <c r="E85" s="3" t="s">
        <v>96</v>
      </c>
      <c r="F85" s="3"/>
      <c r="G85" s="3" t="s">
        <v>98</v>
      </c>
      <c r="H85" s="3"/>
      <c r="I85" s="212"/>
    </row>
    <row r="86" spans="1:9">
      <c r="A86" s="91"/>
      <c r="B86" s="3" t="s">
        <v>97</v>
      </c>
      <c r="C86" s="3"/>
      <c r="D86" s="220">
        <f>Cip_Cic*Fz0/Fp0</f>
        <v>1.3374611299160861</v>
      </c>
      <c r="E86" s="3" t="s">
        <v>96</v>
      </c>
      <c r="F86" s="3"/>
      <c r="G86" s="3" t="s">
        <v>99</v>
      </c>
      <c r="H86" s="3"/>
      <c r="I86" s="212"/>
    </row>
    <row r="87" spans="1:9">
      <c r="A87" s="91"/>
      <c r="B87" s="3" t="s">
        <v>26</v>
      </c>
      <c r="C87" s="3" t="s">
        <v>97</v>
      </c>
      <c r="D87" s="223">
        <v>1.2</v>
      </c>
      <c r="E87" s="3" t="s">
        <v>96</v>
      </c>
      <c r="F87" s="3"/>
      <c r="G87" s="3"/>
      <c r="H87" s="3"/>
      <c r="I87" s="212"/>
    </row>
    <row r="88" spans="1:9">
      <c r="A88" s="91"/>
      <c r="B88" s="3" t="s">
        <v>100</v>
      </c>
      <c r="C88" s="3"/>
      <c r="D88" s="226">
        <f>Cip_Cic-Cip</f>
        <v>18.407521474680916</v>
      </c>
      <c r="E88" s="3" t="s">
        <v>96</v>
      </c>
      <c r="F88" s="3"/>
      <c r="G88" s="3" t="s">
        <v>101</v>
      </c>
      <c r="H88" s="3"/>
      <c r="I88" s="212"/>
    </row>
    <row r="89" spans="1:9">
      <c r="A89" s="91"/>
      <c r="B89" s="3" t="s">
        <v>26</v>
      </c>
      <c r="C89" s="3" t="s">
        <v>100</v>
      </c>
      <c r="D89" s="223">
        <v>18</v>
      </c>
      <c r="E89" s="3" t="s">
        <v>96</v>
      </c>
      <c r="F89" s="3"/>
      <c r="G89" s="3"/>
      <c r="H89" s="3"/>
      <c r="I89" s="212"/>
    </row>
    <row r="90" spans="1:9">
      <c r="A90" s="91"/>
      <c r="B90" s="3" t="s">
        <v>102</v>
      </c>
      <c r="C90" s="3"/>
      <c r="D90" s="220">
        <f>1000/(2*PI*Fz0*Cic)</f>
        <v>4.1814552803111331</v>
      </c>
      <c r="E90" s="3" t="s">
        <v>104</v>
      </c>
      <c r="F90" s="3" t="s">
        <v>103</v>
      </c>
      <c r="G90" s="3" t="s">
        <v>101</v>
      </c>
      <c r="H90" s="3"/>
      <c r="I90" s="212"/>
    </row>
    <row r="91" spans="1:9">
      <c r="A91" s="91"/>
      <c r="B91" s="3" t="s">
        <v>26</v>
      </c>
      <c r="C91" s="3" t="s">
        <v>102</v>
      </c>
      <c r="D91" s="223">
        <v>4.0199999999999996</v>
      </c>
      <c r="E91" s="3" t="s">
        <v>104</v>
      </c>
      <c r="F91" s="3"/>
      <c r="G91" s="3"/>
      <c r="H91" s="3"/>
      <c r="I91" s="212"/>
    </row>
    <row r="92" spans="1:9">
      <c r="A92" s="91"/>
      <c r="B92" s="6" t="s">
        <v>202</v>
      </c>
      <c r="C92" s="3"/>
      <c r="D92" s="117"/>
      <c r="E92" s="3"/>
      <c r="F92" s="3"/>
      <c r="G92" s="3"/>
      <c r="H92" s="3"/>
      <c r="I92" s="212"/>
    </row>
    <row r="93" spans="1:9">
      <c r="A93" s="91"/>
      <c r="B93" s="3"/>
      <c r="C93" s="3" t="s">
        <v>207</v>
      </c>
      <c r="D93" s="116">
        <f>1/(2*PI*Ric*Cic*0.001)</f>
        <v>2.1994878488215428</v>
      </c>
      <c r="E93" s="6" t="s">
        <v>206</v>
      </c>
      <c r="F93" s="3"/>
      <c r="G93" s="3"/>
      <c r="H93" s="3"/>
      <c r="I93" s="212"/>
    </row>
    <row r="94" spans="1:9">
      <c r="A94" s="91"/>
      <c r="B94" s="3"/>
      <c r="C94" s="6" t="s">
        <v>208</v>
      </c>
      <c r="D94" s="116">
        <f>1/(2*PI*Ric*(Cic*Cip/(Cic+Cip))*0.001)</f>
        <v>35.191805581144685</v>
      </c>
      <c r="E94" s="6" t="s">
        <v>206</v>
      </c>
      <c r="F94" s="3"/>
      <c r="G94" s="3"/>
      <c r="H94" s="3"/>
      <c r="I94" s="212"/>
    </row>
    <row r="95" spans="1:9" ht="15.75" thickBot="1">
      <c r="A95" s="94"/>
      <c r="B95" s="115" t="s">
        <v>210</v>
      </c>
      <c r="C95" s="95"/>
      <c r="D95" s="95"/>
      <c r="E95" s="95"/>
      <c r="F95" s="95"/>
      <c r="G95" s="95"/>
      <c r="H95" s="95"/>
      <c r="I95" s="213"/>
    </row>
    <row r="97" spans="1:9">
      <c r="A97" t="s">
        <v>106</v>
      </c>
    </row>
    <row r="98" spans="1:9">
      <c r="B98" t="s">
        <v>107</v>
      </c>
      <c r="D98">
        <f>0.5/(80-2)</f>
        <v>6.41025641025641E-3</v>
      </c>
      <c r="G98" t="s">
        <v>112</v>
      </c>
    </row>
    <row r="99" spans="1:9">
      <c r="B99" t="s">
        <v>109</v>
      </c>
      <c r="D99" s="16">
        <f>2*470</f>
        <v>940</v>
      </c>
      <c r="E99" t="s">
        <v>104</v>
      </c>
    </row>
    <row r="100" spans="1:9">
      <c r="B100" t="s">
        <v>108</v>
      </c>
      <c r="D100" s="219">
        <f>Kbo_/(1-Kbo_)*Rin2_</f>
        <v>6.064516129032258</v>
      </c>
      <c r="E100" t="s">
        <v>104</v>
      </c>
      <c r="G100" t="s">
        <v>113</v>
      </c>
    </row>
    <row r="101" spans="1:9">
      <c r="B101" t="s">
        <v>110</v>
      </c>
      <c r="D101" s="223">
        <v>7.15</v>
      </c>
      <c r="E101" t="s">
        <v>104</v>
      </c>
    </row>
    <row r="102" spans="1:9">
      <c r="B102" t="s">
        <v>111</v>
      </c>
      <c r="D102" s="12">
        <f>Rin_1/(Rin_1+Rin2_)</f>
        <v>7.5489626775062033E-3</v>
      </c>
      <c r="G102" t="s">
        <v>114</v>
      </c>
    </row>
    <row r="103" spans="1:9" ht="15.75" thickBot="1"/>
    <row r="104" spans="1:9">
      <c r="A104" s="89" t="s">
        <v>115</v>
      </c>
      <c r="B104" s="90"/>
      <c r="C104" s="90"/>
      <c r="D104" s="90"/>
      <c r="E104" s="90"/>
      <c r="F104" s="90"/>
      <c r="G104" s="90"/>
      <c r="H104" s="90"/>
      <c r="I104" s="211"/>
    </row>
    <row r="105" spans="1:9">
      <c r="A105" s="91"/>
      <c r="B105" s="3" t="s">
        <v>116</v>
      </c>
      <c r="C105" s="3"/>
      <c r="D105" s="220">
        <f>(Kbo*0.8-Vm/Vout)*Rsen/(Rcs*Aidc)*(Cip+Cic)</f>
        <v>1.015821443096163</v>
      </c>
      <c r="E105" s="3" t="s">
        <v>96</v>
      </c>
      <c r="F105" s="3"/>
      <c r="G105" s="3" t="s">
        <v>117</v>
      </c>
      <c r="H105" s="3"/>
      <c r="I105" s="212"/>
    </row>
    <row r="106" spans="1:9">
      <c r="A106" s="91"/>
      <c r="B106" s="3"/>
      <c r="C106" s="3"/>
      <c r="D106" s="3"/>
      <c r="E106" s="3"/>
      <c r="F106" s="3"/>
      <c r="G106" s="3"/>
      <c r="H106" s="3"/>
      <c r="I106" s="212"/>
    </row>
    <row r="107" spans="1:9">
      <c r="A107" s="91"/>
      <c r="B107" s="3" t="s">
        <v>118</v>
      </c>
      <c r="C107" s="3" t="s">
        <v>66</v>
      </c>
      <c r="D107" s="6">
        <f>D37</f>
        <v>0.99</v>
      </c>
      <c r="E107" s="3" t="s">
        <v>371</v>
      </c>
      <c r="F107" s="3"/>
      <c r="G107" s="3"/>
      <c r="H107" s="3"/>
      <c r="I107" s="212"/>
    </row>
    <row r="108" spans="1:9">
      <c r="A108" s="91"/>
      <c r="B108" s="3"/>
      <c r="C108" s="3" t="s">
        <v>119</v>
      </c>
      <c r="D108" s="218">
        <v>0.94</v>
      </c>
      <c r="E108" s="3" t="s">
        <v>371</v>
      </c>
      <c r="F108" s="3"/>
      <c r="G108" s="3"/>
      <c r="H108" s="3"/>
      <c r="I108" s="212"/>
    </row>
    <row r="109" spans="1:9">
      <c r="A109" s="91"/>
      <c r="B109" s="3"/>
      <c r="C109" s="3" t="s">
        <v>120</v>
      </c>
      <c r="D109" s="218">
        <v>230</v>
      </c>
      <c r="E109" s="3" t="s">
        <v>28</v>
      </c>
      <c r="F109" s="3"/>
      <c r="G109" s="3"/>
      <c r="H109" s="3"/>
      <c r="I109" s="212"/>
    </row>
    <row r="110" spans="1:9">
      <c r="A110" s="91"/>
      <c r="B110" s="3"/>
      <c r="C110" s="3" t="s">
        <v>121</v>
      </c>
      <c r="D110" s="218">
        <v>60</v>
      </c>
      <c r="E110" s="3" t="s">
        <v>29</v>
      </c>
      <c r="F110" s="3"/>
      <c r="G110" s="3"/>
      <c r="H110" s="3"/>
      <c r="I110" s="212"/>
    </row>
    <row r="111" spans="1:9">
      <c r="A111" s="91"/>
      <c r="B111" s="3" t="s">
        <v>134</v>
      </c>
      <c r="C111" s="3"/>
      <c r="D111" s="16">
        <v>0.95</v>
      </c>
      <c r="E111" s="3" t="s">
        <v>10</v>
      </c>
      <c r="F111" s="3"/>
      <c r="G111" s="3"/>
      <c r="H111" s="3"/>
      <c r="I111" s="212"/>
    </row>
    <row r="112" spans="1:9">
      <c r="A112" s="91"/>
      <c r="B112" s="3" t="s">
        <v>123</v>
      </c>
      <c r="C112" s="3"/>
      <c r="D112" s="96">
        <f>Po_eg/Vrms_nom_H/Eff_eg</f>
        <v>0.27459954233409611</v>
      </c>
      <c r="E112" s="3" t="s">
        <v>16</v>
      </c>
      <c r="F112" s="3"/>
      <c r="G112" s="3" t="s">
        <v>124</v>
      </c>
      <c r="H112" s="3"/>
      <c r="I112" s="212"/>
    </row>
    <row r="113" spans="1:9">
      <c r="A113" s="91"/>
      <c r="B113" s="3" t="s">
        <v>122</v>
      </c>
      <c r="C113" s="3"/>
      <c r="D113" s="96">
        <f>Vrms_nom_H*(2*PI*Fline)*(Cf1_eg+Cin_eg)*0.000001</f>
        <v>0.13945529995299999</v>
      </c>
      <c r="E113" s="3" t="s">
        <v>16</v>
      </c>
      <c r="F113" s="3"/>
      <c r="G113" s="3" t="s">
        <v>126</v>
      </c>
      <c r="H113" s="3"/>
      <c r="I113" s="212"/>
    </row>
    <row r="114" spans="1:9">
      <c r="A114" s="91"/>
      <c r="B114" s="3" t="s">
        <v>131</v>
      </c>
      <c r="C114" s="3"/>
      <c r="D114" s="96">
        <f>Ia/SQRT(Ia^2+Ic^2)</f>
        <v>0.89161011069334217</v>
      </c>
      <c r="E114" s="3"/>
      <c r="F114" s="3"/>
      <c r="G114" s="3" t="s">
        <v>128</v>
      </c>
      <c r="H114" s="3"/>
      <c r="I114" s="212"/>
    </row>
    <row r="115" spans="1:9">
      <c r="A115" s="91"/>
      <c r="B115" s="3" t="s">
        <v>125</v>
      </c>
      <c r="C115" s="3"/>
      <c r="D115" s="96">
        <f>Vrms_nom_H*(2*PI*Fline*Cneg)*0.000001</f>
        <v>7.3399836293090534E-2</v>
      </c>
      <c r="E115" s="3" t="s">
        <v>16</v>
      </c>
      <c r="F115" s="3"/>
      <c r="G115" s="3" t="s">
        <v>127</v>
      </c>
      <c r="H115" s="3"/>
      <c r="I115" s="212"/>
    </row>
    <row r="116" spans="1:9">
      <c r="A116" s="91"/>
      <c r="B116" s="3" t="s">
        <v>129</v>
      </c>
      <c r="C116" s="3"/>
      <c r="D116" s="96">
        <f>Ic-Icneg</f>
        <v>6.6055463659909455E-2</v>
      </c>
      <c r="E116" s="3" t="s">
        <v>16</v>
      </c>
      <c r="F116" s="3"/>
      <c r="G116" s="3" t="s">
        <v>130</v>
      </c>
      <c r="H116" s="3"/>
      <c r="I116" s="212"/>
    </row>
    <row r="117" spans="1:9" ht="15.75" thickBot="1">
      <c r="A117" s="94"/>
      <c r="B117" s="95" t="s">
        <v>131</v>
      </c>
      <c r="C117" s="95"/>
      <c r="D117" s="221">
        <f>Ia/SQRT(Ia^2+(Ic-Icneg)^2)</f>
        <v>0.9722653833720154</v>
      </c>
      <c r="E117" s="95"/>
      <c r="F117" s="95"/>
      <c r="G117" s="95" t="s">
        <v>132</v>
      </c>
      <c r="H117" s="95"/>
      <c r="I117" s="213"/>
    </row>
    <row r="118" spans="1:9" ht="15.75" thickBot="1"/>
    <row r="119" spans="1:9">
      <c r="A119" s="89" t="s">
        <v>133</v>
      </c>
      <c r="B119" s="90"/>
      <c r="C119" s="90"/>
      <c r="D119" s="90"/>
      <c r="E119" s="90"/>
      <c r="F119" s="90"/>
      <c r="G119" s="90"/>
      <c r="H119" s="90"/>
      <c r="I119" s="211"/>
    </row>
    <row r="120" spans="1:9">
      <c r="A120" s="91"/>
      <c r="B120" s="3" t="s">
        <v>137</v>
      </c>
      <c r="C120" s="3"/>
      <c r="D120" s="16">
        <v>268</v>
      </c>
      <c r="E120" s="3" t="s">
        <v>372</v>
      </c>
      <c r="F120" s="3"/>
      <c r="G120" s="3"/>
      <c r="H120" s="3"/>
      <c r="I120" s="212"/>
    </row>
    <row r="121" spans="1:9">
      <c r="A121" s="91"/>
      <c r="B121" s="3" t="s">
        <v>172</v>
      </c>
      <c r="C121" s="3"/>
      <c r="D121" s="16">
        <v>205</v>
      </c>
      <c r="E121" s="3" t="s">
        <v>372</v>
      </c>
      <c r="F121" s="3"/>
      <c r="G121" s="3"/>
      <c r="H121" s="3"/>
      <c r="I121" s="212"/>
    </row>
    <row r="122" spans="1:9">
      <c r="A122" s="91"/>
      <c r="B122" s="3" t="s">
        <v>136</v>
      </c>
      <c r="C122" s="3"/>
      <c r="D122" s="226">
        <f>2*Aidc/Gmi*1000</f>
        <v>14.17910447761194</v>
      </c>
      <c r="E122" s="3" t="s">
        <v>104</v>
      </c>
      <c r="F122" s="3"/>
      <c r="G122" s="3"/>
      <c r="H122" s="3"/>
      <c r="I122" s="212"/>
    </row>
    <row r="123" spans="1:9">
      <c r="A123" s="91"/>
      <c r="B123" s="3" t="s">
        <v>138</v>
      </c>
      <c r="C123" s="3"/>
      <c r="D123" s="96">
        <f>SQRT(2)*2/PI</f>
        <v>0.90031630285688857</v>
      </c>
      <c r="E123" s="3"/>
      <c r="F123" s="3"/>
      <c r="G123" s="3"/>
      <c r="H123" s="3"/>
      <c r="I123" s="212"/>
    </row>
    <row r="124" spans="1:9">
      <c r="A124" s="91"/>
      <c r="B124" s="3" t="s">
        <v>135</v>
      </c>
      <c r="C124" s="3"/>
      <c r="D124" s="96">
        <f>0.25*Rsen*Gmi_min/(Rcs*Aidc*Kbo*Kav^2*Vout)*0.001</f>
        <v>0.51811485513777533</v>
      </c>
      <c r="E124" s="3" t="s">
        <v>139</v>
      </c>
      <c r="F124" s="3"/>
      <c r="G124" s="3" t="s">
        <v>140</v>
      </c>
      <c r="H124" s="3"/>
      <c r="I124" s="212"/>
    </row>
    <row r="125" spans="1:9">
      <c r="A125" s="91"/>
      <c r="B125" s="3"/>
      <c r="C125" s="3"/>
      <c r="D125" s="3"/>
      <c r="E125" s="3"/>
      <c r="F125" s="3"/>
      <c r="G125" s="3"/>
      <c r="H125" s="3"/>
      <c r="I125" s="212"/>
    </row>
    <row r="126" spans="1:9">
      <c r="A126" s="91"/>
      <c r="B126" s="3" t="s">
        <v>141</v>
      </c>
      <c r="C126" s="3"/>
      <c r="D126" s="16">
        <v>2.5</v>
      </c>
      <c r="E126" s="3" t="s">
        <v>28</v>
      </c>
      <c r="F126" s="3"/>
      <c r="G126" s="3"/>
      <c r="H126" s="3"/>
      <c r="I126" s="212"/>
    </row>
    <row r="127" spans="1:9">
      <c r="A127" s="91"/>
      <c r="B127" s="3" t="s">
        <v>142</v>
      </c>
      <c r="C127" s="3"/>
      <c r="D127" s="97">
        <f>Vref/Vout</f>
        <v>6.41025641025641E-3</v>
      </c>
      <c r="E127" s="3"/>
      <c r="F127" s="3"/>
      <c r="G127" s="3" t="s">
        <v>143</v>
      </c>
      <c r="H127" s="3"/>
      <c r="I127" s="212"/>
    </row>
    <row r="128" spans="1:9">
      <c r="A128" s="91"/>
      <c r="B128" s="3"/>
      <c r="C128" s="3"/>
      <c r="D128" s="3"/>
      <c r="E128" s="3"/>
      <c r="F128" s="3"/>
      <c r="G128" s="3"/>
      <c r="H128" s="3"/>
      <c r="I128" s="212"/>
    </row>
    <row r="129" spans="1:9">
      <c r="A129" s="91"/>
      <c r="B129" s="3" t="s">
        <v>144</v>
      </c>
      <c r="C129" s="3"/>
      <c r="D129" s="3">
        <v>8</v>
      </c>
      <c r="E129" s="3" t="s">
        <v>6</v>
      </c>
      <c r="F129" s="3"/>
      <c r="G129" s="3"/>
      <c r="H129" s="3"/>
      <c r="I129" s="212"/>
    </row>
    <row r="130" spans="1:9">
      <c r="A130" s="91"/>
      <c r="B130" s="3" t="s">
        <v>145</v>
      </c>
      <c r="C130" s="3"/>
      <c r="D130" s="3">
        <v>20</v>
      </c>
      <c r="E130" s="3" t="s">
        <v>6</v>
      </c>
      <c r="F130" s="3"/>
      <c r="G130" s="3"/>
      <c r="H130" s="3"/>
      <c r="I130" s="212"/>
    </row>
    <row r="131" spans="1:9">
      <c r="A131" s="91"/>
      <c r="B131" s="3" t="s">
        <v>171</v>
      </c>
      <c r="C131" s="3"/>
      <c r="D131" s="3">
        <v>60</v>
      </c>
      <c r="E131" s="3" t="s">
        <v>91</v>
      </c>
      <c r="F131" s="3"/>
      <c r="G131" s="3"/>
      <c r="H131" s="3"/>
      <c r="I131" s="212"/>
    </row>
    <row r="132" spans="1:9">
      <c r="A132" s="91"/>
      <c r="B132" s="3" t="s">
        <v>146</v>
      </c>
      <c r="C132" s="3"/>
      <c r="D132" s="92">
        <f>Fcv/TAN(Pmv*PI/180+ATAN(Fcv/Fpv0))</f>
        <v>1.1526165969940572</v>
      </c>
      <c r="E132" s="3" t="s">
        <v>147</v>
      </c>
      <c r="F132" s="3"/>
      <c r="G132" s="3" t="s">
        <v>148</v>
      </c>
      <c r="H132" s="3"/>
      <c r="I132" s="212"/>
    </row>
    <row r="133" spans="1:9">
      <c r="A133" s="91"/>
      <c r="B133" s="3" t="s">
        <v>149</v>
      </c>
      <c r="C133" s="3"/>
      <c r="D133" s="47">
        <f>Kd/(Cout*2*PI*Fcv)*1000000</f>
        <v>38.17617549367727</v>
      </c>
      <c r="E133" s="3"/>
      <c r="F133" s="3"/>
      <c r="G133" s="3" t="s">
        <v>151</v>
      </c>
      <c r="H133" s="3"/>
      <c r="I133" s="212"/>
    </row>
    <row r="134" spans="1:9">
      <c r="A134" s="91"/>
      <c r="B134" s="3" t="s">
        <v>170</v>
      </c>
      <c r="C134" s="3"/>
      <c r="D134" s="114">
        <v>50</v>
      </c>
      <c r="E134" s="3" t="s">
        <v>372</v>
      </c>
      <c r="F134" s="3"/>
      <c r="G134" s="3"/>
      <c r="H134" s="3"/>
      <c r="I134" s="212"/>
    </row>
    <row r="135" spans="1:9">
      <c r="A135" s="91"/>
      <c r="B135" s="3" t="s">
        <v>150</v>
      </c>
      <c r="C135" s="3"/>
      <c r="D135" s="47">
        <f>Gps*Gdiv*Gmv/(2*PI*Fcv)*SQRT(((Fcv/Fzv0)^2+1)/((Fcv/Fpv0)^2+1))*1000</f>
        <v>1584.9133573524421</v>
      </c>
      <c r="E135" s="3" t="s">
        <v>96</v>
      </c>
      <c r="F135" s="3"/>
      <c r="G135" s="3" t="s">
        <v>152</v>
      </c>
      <c r="H135" s="3"/>
      <c r="I135" s="212"/>
    </row>
    <row r="136" spans="1:9">
      <c r="A136" s="91"/>
      <c r="B136" s="3" t="s">
        <v>153</v>
      </c>
      <c r="C136" s="3"/>
      <c r="D136" s="226">
        <f>Cvc_Cvp*Fzv0/Fpv0</f>
        <v>91.33987202409989</v>
      </c>
      <c r="E136" s="3" t="s">
        <v>96</v>
      </c>
      <c r="F136" s="3"/>
      <c r="G136" s="3" t="s">
        <v>154</v>
      </c>
      <c r="H136" s="3"/>
      <c r="I136" s="212"/>
    </row>
    <row r="137" spans="1:9">
      <c r="A137" s="91"/>
      <c r="B137" s="3" t="s">
        <v>33</v>
      </c>
      <c r="C137" s="3" t="s">
        <v>153</v>
      </c>
      <c r="D137" s="223">
        <v>100</v>
      </c>
      <c r="E137" s="3" t="s">
        <v>96</v>
      </c>
      <c r="F137" s="3"/>
      <c r="G137" s="3"/>
      <c r="H137" s="3"/>
      <c r="I137" s="212"/>
    </row>
    <row r="138" spans="1:9">
      <c r="A138" s="91"/>
      <c r="B138" s="3" t="s">
        <v>155</v>
      </c>
      <c r="C138" s="3"/>
      <c r="D138" s="226">
        <f>Cvc_Cvp-Cvp</f>
        <v>1484.9133573524421</v>
      </c>
      <c r="E138" s="3" t="s">
        <v>96</v>
      </c>
      <c r="F138" s="3"/>
      <c r="G138" s="3" t="s">
        <v>156</v>
      </c>
      <c r="H138" s="3"/>
      <c r="I138" s="212"/>
    </row>
    <row r="139" spans="1:9">
      <c r="A139" s="91"/>
      <c r="B139" s="3" t="s">
        <v>33</v>
      </c>
      <c r="C139" s="3" t="s">
        <v>155</v>
      </c>
      <c r="D139" s="223">
        <v>1500</v>
      </c>
      <c r="E139" s="3" t="s">
        <v>96</v>
      </c>
      <c r="F139" s="3"/>
      <c r="G139" s="3"/>
      <c r="H139" s="3"/>
      <c r="I139" s="212"/>
    </row>
    <row r="140" spans="1:9">
      <c r="A140" s="91"/>
      <c r="B140" s="3" t="s">
        <v>157</v>
      </c>
      <c r="C140" s="3"/>
      <c r="D140" s="226">
        <f>1000000/(2*PI*Fzv0*Cvc)</f>
        <v>92.054282494162521</v>
      </c>
      <c r="E140" s="3" t="s">
        <v>104</v>
      </c>
      <c r="F140" s="3"/>
      <c r="G140" s="3" t="s">
        <v>158</v>
      </c>
      <c r="H140" s="3"/>
      <c r="I140" s="212"/>
    </row>
    <row r="141" spans="1:9">
      <c r="A141" s="91"/>
      <c r="B141" s="3" t="s">
        <v>33</v>
      </c>
      <c r="C141" s="3" t="s">
        <v>157</v>
      </c>
      <c r="D141" s="223">
        <v>82.5</v>
      </c>
      <c r="E141" s="3" t="s">
        <v>104</v>
      </c>
      <c r="F141" s="3"/>
      <c r="G141" s="3"/>
      <c r="H141" s="3"/>
      <c r="I141" s="212"/>
    </row>
    <row r="142" spans="1:9">
      <c r="A142" s="91"/>
      <c r="B142" s="6" t="s">
        <v>202</v>
      </c>
      <c r="C142" s="3"/>
      <c r="D142" s="98"/>
      <c r="E142" s="3"/>
      <c r="F142" s="3"/>
      <c r="G142" s="3"/>
      <c r="H142" s="3"/>
      <c r="I142" s="212"/>
    </row>
    <row r="143" spans="1:9">
      <c r="A143" s="91"/>
      <c r="B143" s="3"/>
      <c r="C143" s="3" t="s">
        <v>204</v>
      </c>
      <c r="D143" s="116">
        <f>1/(2*PI*Rvc*Cvc*0.000001)</f>
        <v>1.2861005312381968</v>
      </c>
      <c r="E143" s="6" t="s">
        <v>205</v>
      </c>
      <c r="F143" s="3"/>
      <c r="G143" s="3"/>
      <c r="H143" s="3"/>
      <c r="I143" s="212"/>
    </row>
    <row r="144" spans="1:9">
      <c r="A144" s="91"/>
      <c r="B144" s="3"/>
      <c r="C144" s="6" t="s">
        <v>203</v>
      </c>
      <c r="D144" s="116">
        <f>1/(2*PI*Rvc*(Cvc*Cvp/(Cvc+Cvp))*0.000001)</f>
        <v>20.577608499811149</v>
      </c>
      <c r="E144" s="6" t="s">
        <v>205</v>
      </c>
      <c r="F144" s="3"/>
      <c r="G144" s="3"/>
      <c r="H144" s="3"/>
      <c r="I144" s="212"/>
    </row>
    <row r="145" spans="1:9" ht="15.75" thickBot="1">
      <c r="A145" s="94"/>
      <c r="B145" s="115" t="s">
        <v>209</v>
      </c>
      <c r="C145" s="95"/>
      <c r="D145" s="95"/>
      <c r="E145" s="95"/>
      <c r="F145" s="95"/>
      <c r="G145" s="95"/>
      <c r="H145" s="95"/>
      <c r="I145" s="213"/>
    </row>
  </sheetData>
  <mergeCells count="3">
    <mergeCell ref="A1:I1"/>
    <mergeCell ref="A2:I2"/>
    <mergeCell ref="I52:I53"/>
  </mergeCells>
  <phoneticPr fontId="8" type="noConversion"/>
  <pageMargins left="0.7" right="0.7" top="0.75" bottom="0.75" header="0.3" footer="0.3"/>
  <pageSetup paperSize="9" orientation="portrait" horizontalDpi="200" verticalDpi="200" r:id="rId1"/>
  <legacyDrawing r:id="rId2"/>
  <oleObjects>
    <oleObject progId="Mathcad" shapeId="4099" r:id="rId3"/>
    <oleObject progId="Mathcad" shapeId="4100" r:id="rId4"/>
    <oleObject progId="Mathcad" shapeId="4101" r:id="rId5"/>
    <oleObject progId="Mathcad" shapeId="4102" r:id="rId6"/>
  </oleObjects>
</worksheet>
</file>

<file path=xl/worksheets/sheet3.xml><?xml version="1.0" encoding="utf-8"?>
<worksheet xmlns="http://schemas.openxmlformats.org/spreadsheetml/2006/main" xmlns:r="http://schemas.openxmlformats.org/officeDocument/2006/relationships">
  <dimension ref="A1:T371"/>
  <sheetViews>
    <sheetView zoomScale="80" zoomScaleNormal="80" workbookViewId="0">
      <selection activeCell="F2" sqref="F2"/>
    </sheetView>
  </sheetViews>
  <sheetFormatPr defaultRowHeight="15"/>
  <cols>
    <col min="1" max="1" width="48.42578125" style="59" customWidth="1"/>
    <col min="2" max="2" width="34.85546875" style="59" customWidth="1"/>
    <col min="3" max="3" width="3.28515625" style="59" bestFit="1" customWidth="1"/>
    <col min="4" max="4" width="8.42578125" style="59" bestFit="1" customWidth="1"/>
    <col min="5" max="5" width="8" style="59" customWidth="1"/>
    <col min="6" max="6" width="8.42578125" style="59" bestFit="1" customWidth="1"/>
    <col min="7" max="7" width="8.42578125" style="59" customWidth="1"/>
    <col min="8" max="8" width="5.85546875" style="59" bestFit="1" customWidth="1"/>
    <col min="9" max="9" width="7.140625" style="59" bestFit="1" customWidth="1"/>
    <col min="10" max="10" width="6.28515625" style="59" bestFit="1" customWidth="1"/>
    <col min="11" max="11" width="7.140625" style="59" bestFit="1" customWidth="1"/>
    <col min="12" max="12" width="5.85546875" style="59" bestFit="1" customWidth="1"/>
    <col min="13" max="13" width="7.5703125" style="59" customWidth="1"/>
    <col min="14" max="14" width="6.7109375" style="59" bestFit="1" customWidth="1"/>
    <col min="15" max="15" width="7.140625" style="59" bestFit="1" customWidth="1"/>
    <col min="16" max="16" width="7.7109375" style="59" bestFit="1" customWidth="1"/>
    <col min="17" max="17" width="6.7109375" style="59" customWidth="1"/>
    <col min="18" max="18" width="7.140625" style="59" bestFit="1" customWidth="1"/>
    <col min="19" max="19" width="9.140625" style="59"/>
    <col min="20" max="20" width="8.42578125" style="59" customWidth="1"/>
    <col min="21" max="16384" width="9.140625" style="59"/>
  </cols>
  <sheetData>
    <row r="1" spans="2:18">
      <c r="B1" s="58" t="s">
        <v>175</v>
      </c>
      <c r="D1" s="58"/>
      <c r="E1" s="58"/>
      <c r="F1" s="58"/>
      <c r="N1" s="64"/>
    </row>
    <row r="2" spans="2:18">
      <c r="B2" s="58" t="s">
        <v>176</v>
      </c>
      <c r="D2" s="58" t="s">
        <v>177</v>
      </c>
      <c r="E2" s="112">
        <v>100000</v>
      </c>
      <c r="F2" s="60">
        <f>LOG10(E2)</f>
        <v>5</v>
      </c>
      <c r="I2" s="61"/>
    </row>
    <row r="3" spans="2:18">
      <c r="B3" s="58" t="s">
        <v>178</v>
      </c>
      <c r="D3" s="58" t="s">
        <v>179</v>
      </c>
      <c r="E3" s="113">
        <v>100</v>
      </c>
      <c r="F3" s="60">
        <f>LOG10(E3)</f>
        <v>2</v>
      </c>
    </row>
    <row r="4" spans="2:18">
      <c r="B4" s="58" t="s">
        <v>180</v>
      </c>
      <c r="D4" s="58" t="s">
        <v>181</v>
      </c>
      <c r="E4" s="63">
        <v>35</v>
      </c>
      <c r="F4" s="58"/>
    </row>
    <row r="5" spans="2:18" ht="15.75" thickBot="1">
      <c r="B5" s="58" t="s">
        <v>184</v>
      </c>
      <c r="D5" s="58" t="s">
        <v>182</v>
      </c>
      <c r="E5" s="62">
        <f>(F2-F3)/(E4-1)</f>
        <v>8.8235294117647065E-2</v>
      </c>
      <c r="F5" s="58"/>
      <c r="G5" s="125" t="s">
        <v>214</v>
      </c>
      <c r="I5" s="64"/>
      <c r="J5" s="64"/>
    </row>
    <row r="6" spans="2:18" ht="15.75" thickBot="1">
      <c r="F6" s="186" t="s">
        <v>196</v>
      </c>
      <c r="G6" s="187"/>
      <c r="H6" s="190" t="s">
        <v>197</v>
      </c>
      <c r="I6" s="191"/>
      <c r="J6" s="191"/>
      <c r="K6" s="191"/>
      <c r="L6" s="191"/>
      <c r="M6" s="191"/>
      <c r="N6" s="191"/>
      <c r="O6" s="192"/>
      <c r="P6" s="126"/>
      <c r="Q6" s="193" t="s">
        <v>201</v>
      </c>
      <c r="R6" s="187"/>
    </row>
    <row r="7" spans="2:18" ht="15.75" thickBot="1">
      <c r="F7" s="188"/>
      <c r="G7" s="189"/>
      <c r="H7" s="194" t="s">
        <v>198</v>
      </c>
      <c r="I7" s="195"/>
      <c r="J7" s="196" t="s">
        <v>199</v>
      </c>
      <c r="K7" s="195"/>
      <c r="L7" s="196" t="s">
        <v>200</v>
      </c>
      <c r="M7" s="197"/>
      <c r="N7" s="198" t="s">
        <v>212</v>
      </c>
      <c r="O7" s="192"/>
      <c r="P7" s="124" t="s">
        <v>213</v>
      </c>
      <c r="Q7" s="188"/>
      <c r="R7" s="189"/>
    </row>
    <row r="8" spans="2:18" s="65" customFormat="1" ht="30.75" thickBot="1">
      <c r="C8" s="66"/>
      <c r="D8" s="67" t="s">
        <v>183</v>
      </c>
      <c r="E8" s="68" t="s">
        <v>192</v>
      </c>
      <c r="F8" s="69" t="s">
        <v>185</v>
      </c>
      <c r="G8" s="70" t="s">
        <v>186</v>
      </c>
      <c r="H8" s="69" t="s">
        <v>185</v>
      </c>
      <c r="I8" s="71" t="s">
        <v>186</v>
      </c>
      <c r="J8" s="69" t="s">
        <v>185</v>
      </c>
      <c r="K8" s="71" t="s">
        <v>186</v>
      </c>
      <c r="L8" s="69" t="s">
        <v>185</v>
      </c>
      <c r="M8" s="70" t="s">
        <v>186</v>
      </c>
      <c r="N8" s="69" t="s">
        <v>185</v>
      </c>
      <c r="O8" s="70" t="s">
        <v>186</v>
      </c>
      <c r="P8" s="69" t="s">
        <v>185</v>
      </c>
      <c r="Q8" s="69" t="s">
        <v>185</v>
      </c>
      <c r="R8" s="70" t="s">
        <v>186</v>
      </c>
    </row>
    <row r="9" spans="2:18">
      <c r="C9" s="72">
        <v>1</v>
      </c>
      <c r="D9" s="73">
        <f t="shared" ref="D9:D48" si="0">(C9-1)*DFi+$F$3</f>
        <v>2</v>
      </c>
      <c r="E9" s="106">
        <f>10^D9</f>
        <v>100</v>
      </c>
      <c r="F9" s="74">
        <f t="shared" ref="F9:F48" si="1">20*LOG10(Vout/((Lbst*0.000001)*(2*PI*E9)))</f>
        <v>60.051991364387696</v>
      </c>
      <c r="G9" s="75">
        <f>-90</f>
        <v>-90</v>
      </c>
      <c r="H9" s="76">
        <f t="shared" ref="H9:H48" si="2">-20*LOG10(0.000000001*(Cic+Cip)*(2*PI*E9))</f>
        <v>98.370377930451554</v>
      </c>
      <c r="I9" s="77">
        <v>-90</v>
      </c>
      <c r="J9" s="78">
        <f t="shared" ref="J9:J48" si="3">10*LOG10((E9*0.001/Fz0)^2+1)</f>
        <v>9.7019447352705498E-3</v>
      </c>
      <c r="K9" s="78">
        <f t="shared" ref="K9:K48" si="4">ATAN(E9*0.001/Fz0)*180/PI</f>
        <v>2.7075657766208279</v>
      </c>
      <c r="L9" s="78">
        <f t="shared" ref="L9:L47" si="5">-10*LOG10((E9*0.001/Fp0)^2+1)</f>
        <v>-4.5191698472337316E-5</v>
      </c>
      <c r="M9" s="78">
        <f t="shared" ref="M9:M48" si="6">-ATAN(E9*0.001/Fp0)*180/PI</f>
        <v>-0.18482445139110931</v>
      </c>
      <c r="N9" s="79">
        <f t="shared" ref="N9:N48" si="7">H9+J9+L9+20*LOG10(Gmi*0.000001)</f>
        <v>26.942730564064121</v>
      </c>
      <c r="O9" s="80">
        <f>I9+K9+M9</f>
        <v>-87.477258674770283</v>
      </c>
      <c r="P9" s="122">
        <f t="shared" ref="P9:P48" si="8">20*LOG10((Rcs/Rsen)*0.5*Ris/Vm)</f>
        <v>-19.734006834044891</v>
      </c>
      <c r="Q9" s="79">
        <f>F9+N9+P9</f>
        <v>67.260715094406919</v>
      </c>
      <c r="R9" s="80">
        <f>G9+O9</f>
        <v>-177.47725867477027</v>
      </c>
    </row>
    <row r="10" spans="2:18">
      <c r="C10" s="72">
        <f t="shared" ref="C10:C48" si="9">C9+1</f>
        <v>2</v>
      </c>
      <c r="D10" s="73">
        <f t="shared" si="0"/>
        <v>2.0882352941176472</v>
      </c>
      <c r="E10" s="106">
        <f t="shared" ref="E10:E48" si="10">10^D10</f>
        <v>122.52798573828653</v>
      </c>
      <c r="F10" s="74">
        <f t="shared" si="1"/>
        <v>58.287285482034754</v>
      </c>
      <c r="G10" s="75">
        <f t="shared" ref="G10:G48" si="11">-90</f>
        <v>-90</v>
      </c>
      <c r="H10" s="76">
        <f t="shared" si="2"/>
        <v>96.605672048098626</v>
      </c>
      <c r="I10" s="77">
        <v>-90</v>
      </c>
      <c r="J10" s="78">
        <f t="shared" si="3"/>
        <v>1.455748979777265E-2</v>
      </c>
      <c r="K10" s="78">
        <f t="shared" si="4"/>
        <v>3.3162892136835769</v>
      </c>
      <c r="L10" s="78">
        <f t="shared" si="5"/>
        <v>-6.7846604813730403E-5</v>
      </c>
      <c r="M10" s="78">
        <f t="shared" si="6"/>
        <v>-0.22646128366304552</v>
      </c>
      <c r="N10" s="79">
        <f t="shared" si="7"/>
        <v>25.182857571867359</v>
      </c>
      <c r="O10" s="80">
        <f t="shared" ref="O10:O48" si="12">I10+K10+M10</f>
        <v>-86.910172069979467</v>
      </c>
      <c r="P10" s="122">
        <f t="shared" si="8"/>
        <v>-19.734006834044891</v>
      </c>
      <c r="Q10" s="79">
        <f t="shared" ref="Q10:Q48" si="13">F10+N10+P10</f>
        <v>63.736136219857229</v>
      </c>
      <c r="R10" s="80">
        <f t="shared" ref="R10:R48" si="14">G10+O10</f>
        <v>-176.91017206997947</v>
      </c>
    </row>
    <row r="11" spans="2:18">
      <c r="C11" s="72">
        <f t="shared" si="9"/>
        <v>3</v>
      </c>
      <c r="D11" s="73">
        <f t="shared" si="0"/>
        <v>2.1764705882352939</v>
      </c>
      <c r="E11" s="106">
        <f t="shared" si="10"/>
        <v>150.13107289081739</v>
      </c>
      <c r="F11" s="74">
        <f t="shared" si="1"/>
        <v>56.522579599681819</v>
      </c>
      <c r="G11" s="75">
        <f t="shared" si="11"/>
        <v>-90</v>
      </c>
      <c r="H11" s="76">
        <f t="shared" si="2"/>
        <v>94.84096616574567</v>
      </c>
      <c r="I11" s="77">
        <v>-90</v>
      </c>
      <c r="J11" s="78">
        <f t="shared" si="3"/>
        <v>2.1836993924261826E-2</v>
      </c>
      <c r="K11" s="78">
        <f t="shared" si="4"/>
        <v>4.0611114378498581</v>
      </c>
      <c r="L11" s="78">
        <f t="shared" si="5"/>
        <v>-1.0185843687185332E-4</v>
      </c>
      <c r="M11" s="78">
        <f t="shared" si="6"/>
        <v>-0.2774777249896917</v>
      </c>
      <c r="N11" s="79">
        <f t="shared" si="7"/>
        <v>23.425397181808833</v>
      </c>
      <c r="O11" s="80">
        <f t="shared" si="12"/>
        <v>-86.216366287139834</v>
      </c>
      <c r="P11" s="122">
        <f t="shared" si="8"/>
        <v>-19.734006834044891</v>
      </c>
      <c r="Q11" s="79">
        <f t="shared" si="13"/>
        <v>60.213969947445761</v>
      </c>
      <c r="R11" s="80">
        <f t="shared" si="14"/>
        <v>-176.21636628713983</v>
      </c>
    </row>
    <row r="12" spans="2:18">
      <c r="C12" s="72">
        <f t="shared" si="9"/>
        <v>4</v>
      </c>
      <c r="D12" s="73">
        <f t="shared" si="0"/>
        <v>2.2647058823529411</v>
      </c>
      <c r="E12" s="106">
        <f t="shared" si="10"/>
        <v>183.95257958039721</v>
      </c>
      <c r="F12" s="74">
        <f t="shared" si="1"/>
        <v>54.757873717328877</v>
      </c>
      <c r="G12" s="75">
        <f t="shared" si="11"/>
        <v>-90</v>
      </c>
      <c r="H12" s="76">
        <f t="shared" si="2"/>
        <v>93.076260283392728</v>
      </c>
      <c r="I12" s="77">
        <v>-90</v>
      </c>
      <c r="J12" s="78">
        <f t="shared" si="3"/>
        <v>3.2742932551532877E-2</v>
      </c>
      <c r="K12" s="78">
        <f t="shared" si="4"/>
        <v>4.9718310823677676</v>
      </c>
      <c r="L12" s="78">
        <f t="shared" si="5"/>
        <v>-1.5292026512406858E-4</v>
      </c>
      <c r="M12" s="78">
        <f t="shared" si="6"/>
        <v>-0.33998653483958913</v>
      </c>
      <c r="N12" s="79">
        <f t="shared" si="7"/>
        <v>21.671546176254907</v>
      </c>
      <c r="O12" s="80">
        <f t="shared" si="12"/>
        <v>-85.368155452471811</v>
      </c>
      <c r="P12" s="122">
        <f t="shared" si="8"/>
        <v>-19.734006834044891</v>
      </c>
      <c r="Q12" s="79">
        <f t="shared" si="13"/>
        <v>56.695413059538893</v>
      </c>
      <c r="R12" s="80">
        <f t="shared" si="14"/>
        <v>-175.3681554524718</v>
      </c>
    </row>
    <row r="13" spans="2:18">
      <c r="C13" s="72">
        <f t="shared" si="9"/>
        <v>5</v>
      </c>
      <c r="D13" s="73">
        <f t="shared" si="0"/>
        <v>2.3529411764705883</v>
      </c>
      <c r="E13" s="106">
        <f t="shared" si="10"/>
        <v>225.39339047347917</v>
      </c>
      <c r="F13" s="74">
        <f t="shared" si="1"/>
        <v>52.993167834975935</v>
      </c>
      <c r="G13" s="75">
        <f t="shared" si="11"/>
        <v>-90</v>
      </c>
      <c r="H13" s="76">
        <f t="shared" si="2"/>
        <v>91.3115544010398</v>
      </c>
      <c r="I13" s="77">
        <v>-90</v>
      </c>
      <c r="J13" s="78">
        <f t="shared" si="3"/>
        <v>4.9064884749152944E-2</v>
      </c>
      <c r="K13" s="78">
        <f t="shared" si="4"/>
        <v>6.0842480426300263</v>
      </c>
      <c r="L13" s="78">
        <f t="shared" si="5"/>
        <v>-2.2957880849440717E-4</v>
      </c>
      <c r="M13" s="78">
        <f t="shared" si="6"/>
        <v>-0.41657620186408367</v>
      </c>
      <c r="N13" s="79">
        <f t="shared" si="7"/>
        <v>19.92308558755623</v>
      </c>
      <c r="O13" s="80">
        <f t="shared" si="12"/>
        <v>-84.332328159234066</v>
      </c>
      <c r="P13" s="122">
        <f t="shared" si="8"/>
        <v>-19.734006834044891</v>
      </c>
      <c r="Q13" s="79">
        <f t="shared" si="13"/>
        <v>53.182246588487274</v>
      </c>
      <c r="R13" s="80">
        <f t="shared" si="14"/>
        <v>-174.33232815923407</v>
      </c>
    </row>
    <row r="14" spans="2:18">
      <c r="C14" s="72">
        <f t="shared" si="9"/>
        <v>6</v>
      </c>
      <c r="D14" s="73">
        <f t="shared" si="0"/>
        <v>2.4411764705882355</v>
      </c>
      <c r="E14" s="106">
        <f t="shared" si="10"/>
        <v>276.16998133438517</v>
      </c>
      <c r="F14" s="74">
        <f t="shared" si="1"/>
        <v>51.228461952622986</v>
      </c>
      <c r="G14" s="75">
        <f t="shared" si="11"/>
        <v>-90</v>
      </c>
      <c r="H14" s="76">
        <f t="shared" si="2"/>
        <v>89.546848518686843</v>
      </c>
      <c r="I14" s="77">
        <v>-90</v>
      </c>
      <c r="J14" s="78">
        <f t="shared" si="3"/>
        <v>7.3454603436827734E-2</v>
      </c>
      <c r="K14" s="78">
        <f t="shared" si="4"/>
        <v>7.4409380028297072</v>
      </c>
      <c r="L14" s="78">
        <f t="shared" si="5"/>
        <v>-3.4466456152798991E-4</v>
      </c>
      <c r="M14" s="78">
        <f t="shared" si="6"/>
        <v>-0.51041792054733726</v>
      </c>
      <c r="N14" s="79">
        <f t="shared" si="7"/>
        <v>18.182654338137922</v>
      </c>
      <c r="O14" s="80">
        <f t="shared" si="12"/>
        <v>-83.069479917717629</v>
      </c>
      <c r="P14" s="122">
        <f t="shared" si="8"/>
        <v>-19.734006834044891</v>
      </c>
      <c r="Q14" s="79">
        <f t="shared" si="13"/>
        <v>49.677109456716011</v>
      </c>
      <c r="R14" s="80">
        <f t="shared" si="14"/>
        <v>-173.06947991771762</v>
      </c>
    </row>
    <row r="15" spans="2:18">
      <c r="C15" s="72">
        <f t="shared" si="9"/>
        <v>7</v>
      </c>
      <c r="D15" s="73">
        <f t="shared" si="0"/>
        <v>2.5294117647058822</v>
      </c>
      <c r="E15" s="106">
        <f t="shared" si="10"/>
        <v>338.38551534282357</v>
      </c>
      <c r="F15" s="74">
        <f t="shared" si="1"/>
        <v>49.463756070270051</v>
      </c>
      <c r="G15" s="75">
        <f t="shared" si="11"/>
        <v>-90</v>
      </c>
      <c r="H15" s="76">
        <f t="shared" si="2"/>
        <v>87.782142636333901</v>
      </c>
      <c r="I15" s="77">
        <v>-90</v>
      </c>
      <c r="J15" s="78">
        <f t="shared" si="3"/>
        <v>0.10981588082956162</v>
      </c>
      <c r="K15" s="78">
        <f t="shared" si="4"/>
        <v>9.0917509270691479</v>
      </c>
      <c r="L15" s="78">
        <f t="shared" si="5"/>
        <v>-5.1743831129604922E-4</v>
      </c>
      <c r="M15" s="78">
        <f t="shared" si="6"/>
        <v>-0.62539650342407782</v>
      </c>
      <c r="N15" s="79">
        <f t="shared" si="7"/>
        <v>16.454136959427942</v>
      </c>
      <c r="O15" s="80">
        <f t="shared" si="12"/>
        <v>-81.533645576354928</v>
      </c>
      <c r="P15" s="122">
        <f t="shared" si="8"/>
        <v>-19.734006834044891</v>
      </c>
      <c r="Q15" s="79">
        <f t="shared" si="13"/>
        <v>46.183886195653102</v>
      </c>
      <c r="R15" s="80">
        <f t="shared" si="14"/>
        <v>-171.53364557635493</v>
      </c>
    </row>
    <row r="16" spans="2:18">
      <c r="C16" s="72">
        <f t="shared" si="9"/>
        <v>8</v>
      </c>
      <c r="D16" s="73">
        <f t="shared" si="0"/>
        <v>2.6176470588235294</v>
      </c>
      <c r="E16" s="106">
        <f t="shared" si="10"/>
        <v>414.61695597968202</v>
      </c>
      <c r="F16" s="74">
        <f t="shared" si="1"/>
        <v>47.699050187917109</v>
      </c>
      <c r="G16" s="75">
        <f t="shared" si="11"/>
        <v>-90</v>
      </c>
      <c r="H16" s="76">
        <f t="shared" si="2"/>
        <v>86.017436753980974</v>
      </c>
      <c r="I16" s="77">
        <v>-90</v>
      </c>
      <c r="J16" s="78">
        <f t="shared" si="3"/>
        <v>0.16384015130054852</v>
      </c>
      <c r="K16" s="78">
        <f t="shared" si="4"/>
        <v>11.093649891428791</v>
      </c>
      <c r="L16" s="78">
        <f t="shared" si="5"/>
        <v>-7.7681249054455787E-4</v>
      </c>
      <c r="M16" s="78">
        <f t="shared" si="6"/>
        <v>-0.76627048338234272</v>
      </c>
      <c r="N16" s="79">
        <f t="shared" si="7"/>
        <v>14.743195973366753</v>
      </c>
      <c r="O16" s="80">
        <f t="shared" si="12"/>
        <v>-79.672620591953546</v>
      </c>
      <c r="P16" s="122">
        <f t="shared" si="8"/>
        <v>-19.734006834044891</v>
      </c>
      <c r="Q16" s="79">
        <f t="shared" si="13"/>
        <v>42.708239327238971</v>
      </c>
      <c r="R16" s="80">
        <f t="shared" si="14"/>
        <v>-169.67262059195355</v>
      </c>
    </row>
    <row r="17" spans="3:20">
      <c r="C17" s="72">
        <f t="shared" si="9"/>
        <v>9</v>
      </c>
      <c r="D17" s="73">
        <f t="shared" si="0"/>
        <v>2.7058823529411766</v>
      </c>
      <c r="E17" s="106">
        <f t="shared" si="10"/>
        <v>508.02180469130275</v>
      </c>
      <c r="F17" s="74">
        <f t="shared" si="1"/>
        <v>45.934344305564153</v>
      </c>
      <c r="G17" s="75">
        <f t="shared" si="11"/>
        <v>-90</v>
      </c>
      <c r="H17" s="76">
        <f t="shared" si="2"/>
        <v>84.252730871628017</v>
      </c>
      <c r="I17" s="77">
        <v>-90</v>
      </c>
      <c r="J17" s="78">
        <f t="shared" si="3"/>
        <v>0.24370610253694466</v>
      </c>
      <c r="K17" s="78">
        <f t="shared" si="4"/>
        <v>13.509239962705102</v>
      </c>
      <c r="L17" s="78">
        <f t="shared" si="5"/>
        <v>-1.1661846454105161E-3</v>
      </c>
      <c r="M17" s="78">
        <f t="shared" si="6"/>
        <v>-0.93886772888536774</v>
      </c>
      <c r="N17" s="79">
        <f t="shared" si="7"/>
        <v>13.057966670095325</v>
      </c>
      <c r="O17" s="80">
        <f t="shared" si="12"/>
        <v>-77.429627766180275</v>
      </c>
      <c r="P17" s="122">
        <f t="shared" si="8"/>
        <v>-19.734006834044891</v>
      </c>
      <c r="Q17" s="79">
        <f t="shared" si="13"/>
        <v>39.258304141614587</v>
      </c>
      <c r="R17" s="80">
        <f t="shared" si="14"/>
        <v>-167.42962776618026</v>
      </c>
    </row>
    <row r="18" spans="3:20">
      <c r="C18" s="72">
        <f t="shared" si="9"/>
        <v>10</v>
      </c>
      <c r="D18" s="73">
        <f t="shared" si="0"/>
        <v>2.7941176470588234</v>
      </c>
      <c r="E18" s="106">
        <f t="shared" si="10"/>
        <v>622.46888439954444</v>
      </c>
      <c r="F18" s="74">
        <f t="shared" si="1"/>
        <v>44.169638423211232</v>
      </c>
      <c r="G18" s="75">
        <f t="shared" si="11"/>
        <v>-90</v>
      </c>
      <c r="H18" s="76">
        <f t="shared" si="2"/>
        <v>82.48802498927509</v>
      </c>
      <c r="I18" s="77">
        <v>-90</v>
      </c>
      <c r="J18" s="78">
        <f t="shared" si="3"/>
        <v>0.36091789527240398</v>
      </c>
      <c r="K18" s="78">
        <f t="shared" si="4"/>
        <v>16.402987418335222</v>
      </c>
      <c r="L18" s="78">
        <f t="shared" si="5"/>
        <v>-1.7506876997561455E-3</v>
      </c>
      <c r="M18" s="78">
        <f t="shared" si="6"/>
        <v>-1.1503241073340378</v>
      </c>
      <c r="N18" s="79">
        <f t="shared" si="7"/>
        <v>11.409888077423517</v>
      </c>
      <c r="O18" s="80">
        <f t="shared" si="12"/>
        <v>-74.747336688998828</v>
      </c>
      <c r="P18" s="122">
        <f t="shared" si="8"/>
        <v>-19.734006834044891</v>
      </c>
      <c r="Q18" s="79">
        <f t="shared" si="13"/>
        <v>35.845519666589858</v>
      </c>
      <c r="R18" s="80">
        <f t="shared" si="14"/>
        <v>-164.74733668899881</v>
      </c>
    </row>
    <row r="19" spans="3:20">
      <c r="C19" s="72">
        <f t="shared" si="9"/>
        <v>11</v>
      </c>
      <c r="D19" s="73">
        <f t="shared" si="0"/>
        <v>2.8823529411764706</v>
      </c>
      <c r="E19" s="106">
        <f t="shared" si="10"/>
        <v>762.69858590234469</v>
      </c>
      <c r="F19" s="74">
        <f t="shared" si="1"/>
        <v>42.404932540858283</v>
      </c>
      <c r="G19" s="75">
        <f t="shared" si="11"/>
        <v>-90</v>
      </c>
      <c r="H19" s="76">
        <f t="shared" si="2"/>
        <v>80.723319106922148</v>
      </c>
      <c r="I19" s="77">
        <v>-90</v>
      </c>
      <c r="J19" s="78">
        <f t="shared" si="3"/>
        <v>0.53115523225384331</v>
      </c>
      <c r="K19" s="78">
        <f t="shared" si="4"/>
        <v>19.833810907151065</v>
      </c>
      <c r="L19" s="78">
        <f t="shared" si="5"/>
        <v>-2.6280607270583699E-3</v>
      </c>
      <c r="M19" s="78">
        <f t="shared" si="6"/>
        <v>-1.4093740401310533</v>
      </c>
      <c r="N19" s="79">
        <f t="shared" si="7"/>
        <v>9.8145421590246968</v>
      </c>
      <c r="O19" s="80">
        <f t="shared" si="12"/>
        <v>-71.575563132979994</v>
      </c>
      <c r="P19" s="122">
        <f t="shared" si="8"/>
        <v>-19.734006834044891</v>
      </c>
      <c r="Q19" s="79">
        <f t="shared" si="13"/>
        <v>32.485467865838089</v>
      </c>
      <c r="R19" s="80">
        <f t="shared" si="14"/>
        <v>-161.57556313297999</v>
      </c>
    </row>
    <row r="20" spans="3:20">
      <c r="C20" s="72">
        <f t="shared" si="9"/>
        <v>12</v>
      </c>
      <c r="D20" s="73">
        <f t="shared" si="0"/>
        <v>2.9705882352941178</v>
      </c>
      <c r="E20" s="107">
        <f t="shared" si="10"/>
        <v>934.51921456053833</v>
      </c>
      <c r="F20" s="74">
        <f t="shared" si="1"/>
        <v>40.640226658505334</v>
      </c>
      <c r="G20" s="75">
        <f t="shared" si="11"/>
        <v>-90</v>
      </c>
      <c r="H20" s="76">
        <f t="shared" si="2"/>
        <v>78.958613224569191</v>
      </c>
      <c r="I20" s="77">
        <v>-90</v>
      </c>
      <c r="J20" s="78">
        <f t="shared" si="3"/>
        <v>0.77482458602613158</v>
      </c>
      <c r="K20" s="78">
        <f t="shared" si="4"/>
        <v>23.842784547830924</v>
      </c>
      <c r="L20" s="78">
        <f t="shared" si="5"/>
        <v>-3.9449375488561618E-3</v>
      </c>
      <c r="M20" s="78">
        <f t="shared" si="6"/>
        <v>-1.7267030716194272</v>
      </c>
      <c r="N20" s="79">
        <f t="shared" si="7"/>
        <v>8.2921887536222414</v>
      </c>
      <c r="O20" s="80">
        <f t="shared" si="12"/>
        <v>-67.883918523788509</v>
      </c>
      <c r="P20" s="122">
        <f t="shared" si="8"/>
        <v>-19.734006834044891</v>
      </c>
      <c r="Q20" s="79">
        <f t="shared" si="13"/>
        <v>29.198408578082685</v>
      </c>
      <c r="R20" s="80">
        <f t="shared" si="14"/>
        <v>-157.88391852378851</v>
      </c>
    </row>
    <row r="21" spans="3:20">
      <c r="C21" s="72">
        <f t="shared" si="9"/>
        <v>13</v>
      </c>
      <c r="D21" s="73">
        <f t="shared" si="0"/>
        <v>3.0588235294117645</v>
      </c>
      <c r="E21" s="106">
        <f t="shared" si="10"/>
        <v>1145.0475699382821</v>
      </c>
      <c r="F21" s="74">
        <f t="shared" si="1"/>
        <v>38.875520776152406</v>
      </c>
      <c r="G21" s="75">
        <f t="shared" si="11"/>
        <v>-90</v>
      </c>
      <c r="H21" s="76">
        <f t="shared" si="2"/>
        <v>77.193907342216264</v>
      </c>
      <c r="I21" s="77">
        <v>-90</v>
      </c>
      <c r="J21" s="78">
        <f t="shared" si="3"/>
        <v>1.1167539230111536</v>
      </c>
      <c r="K21" s="78">
        <f t="shared" si="4"/>
        <v>28.43581555656824</v>
      </c>
      <c r="L21" s="78">
        <f t="shared" si="5"/>
        <v>-5.9212294071217426E-3</v>
      </c>
      <c r="M21" s="78">
        <f t="shared" si="6"/>
        <v>-2.1153735478325193</v>
      </c>
      <c r="N21" s="79">
        <f t="shared" si="7"/>
        <v>6.8674359163960759</v>
      </c>
      <c r="O21" s="80">
        <f t="shared" si="12"/>
        <v>-63.679557991264275</v>
      </c>
      <c r="P21" s="122">
        <f t="shared" si="8"/>
        <v>-19.734006834044891</v>
      </c>
      <c r="Q21" s="79">
        <f t="shared" si="13"/>
        <v>26.008949858503591</v>
      </c>
      <c r="R21" s="80">
        <f t="shared" si="14"/>
        <v>-153.67955799126429</v>
      </c>
    </row>
    <row r="22" spans="3:20">
      <c r="C22" s="72">
        <f t="shared" si="9"/>
        <v>14</v>
      </c>
      <c r="D22" s="73">
        <f t="shared" si="0"/>
        <v>3.1470588235294121</v>
      </c>
      <c r="E22" s="106">
        <f t="shared" si="10"/>
        <v>1403.0037231905753</v>
      </c>
      <c r="F22" s="74">
        <f t="shared" si="1"/>
        <v>37.110814893799457</v>
      </c>
      <c r="G22" s="75">
        <f t="shared" si="11"/>
        <v>-90</v>
      </c>
      <c r="H22" s="76">
        <f t="shared" si="2"/>
        <v>75.429201459863307</v>
      </c>
      <c r="I22" s="77">
        <v>-90</v>
      </c>
      <c r="J22" s="78">
        <f t="shared" si="3"/>
        <v>1.5843114542098913</v>
      </c>
      <c r="K22" s="78">
        <f t="shared" si="4"/>
        <v>33.564135598054889</v>
      </c>
      <c r="L22" s="78">
        <f t="shared" si="5"/>
        <v>-8.8865700046222539E-3</v>
      </c>
      <c r="M22" s="78">
        <f t="shared" si="6"/>
        <v>-2.5913346144324692</v>
      </c>
      <c r="N22" s="79">
        <f t="shared" si="7"/>
        <v>5.5673222246443572</v>
      </c>
      <c r="O22" s="80">
        <f t="shared" si="12"/>
        <v>-59.02719901637758</v>
      </c>
      <c r="P22" s="122">
        <f t="shared" si="8"/>
        <v>-19.734006834044891</v>
      </c>
      <c r="Q22" s="79">
        <f t="shared" si="13"/>
        <v>22.944130284398923</v>
      </c>
      <c r="R22" s="80">
        <f t="shared" si="14"/>
        <v>-149.02719901637758</v>
      </c>
    </row>
    <row r="23" spans="3:20">
      <c r="C23" s="72">
        <f t="shared" si="9"/>
        <v>15</v>
      </c>
      <c r="D23" s="73">
        <f t="shared" si="0"/>
        <v>3.2352941176470589</v>
      </c>
      <c r="E23" s="106">
        <f t="shared" si="10"/>
        <v>1719.0722018585766</v>
      </c>
      <c r="F23" s="74">
        <f t="shared" si="1"/>
        <v>35.346109011446515</v>
      </c>
      <c r="G23" s="75">
        <f t="shared" si="11"/>
        <v>-90</v>
      </c>
      <c r="H23" s="76">
        <f t="shared" si="2"/>
        <v>73.664495577510365</v>
      </c>
      <c r="I23" s="77">
        <v>-90</v>
      </c>
      <c r="J23" s="78">
        <f t="shared" si="3"/>
        <v>2.2034832225928511</v>
      </c>
      <c r="K23" s="78">
        <f t="shared" si="4"/>
        <v>39.110038821188638</v>
      </c>
      <c r="L23" s="78">
        <f t="shared" si="5"/>
        <v>-1.3334669459887757E-2</v>
      </c>
      <c r="M23" s="78">
        <f t="shared" si="6"/>
        <v>-3.1740259261266996</v>
      </c>
      <c r="N23" s="79">
        <f t="shared" si="7"/>
        <v>4.4173400112190961</v>
      </c>
      <c r="O23" s="80">
        <f t="shared" si="12"/>
        <v>-54.063987104938064</v>
      </c>
      <c r="P23" s="122">
        <f t="shared" si="8"/>
        <v>-19.734006834044891</v>
      </c>
      <c r="Q23" s="79">
        <f t="shared" si="13"/>
        <v>20.02944218862072</v>
      </c>
      <c r="R23" s="80">
        <f t="shared" si="14"/>
        <v>-144.06398710493806</v>
      </c>
    </row>
    <row r="24" spans="3:20">
      <c r="C24" s="72">
        <f t="shared" si="9"/>
        <v>16</v>
      </c>
      <c r="D24" s="73">
        <f t="shared" si="0"/>
        <v>3.3235294117647061</v>
      </c>
      <c r="E24" s="106">
        <f t="shared" si="10"/>
        <v>2106.3445423241237</v>
      </c>
      <c r="F24" s="74">
        <f t="shared" si="1"/>
        <v>33.581403129093573</v>
      </c>
      <c r="G24" s="75">
        <f t="shared" si="11"/>
        <v>-90</v>
      </c>
      <c r="H24" s="76">
        <f t="shared" si="2"/>
        <v>71.899789695157438</v>
      </c>
      <c r="I24" s="77">
        <v>-90</v>
      </c>
      <c r="J24" s="78">
        <f t="shared" si="3"/>
        <v>2.9934253489819347</v>
      </c>
      <c r="K24" s="78">
        <f t="shared" si="4"/>
        <v>44.888470516138277</v>
      </c>
      <c r="L24" s="78">
        <f t="shared" si="5"/>
        <v>-2.0004106494923318E-2</v>
      </c>
      <c r="M24" s="78">
        <f t="shared" si="6"/>
        <v>-3.8870787173462413</v>
      </c>
      <c r="N24" s="79">
        <f t="shared" si="7"/>
        <v>3.4359068182202179</v>
      </c>
      <c r="O24" s="80">
        <f t="shared" si="12"/>
        <v>-48.998608201207965</v>
      </c>
      <c r="P24" s="122">
        <f t="shared" si="8"/>
        <v>-19.734006834044891</v>
      </c>
      <c r="Q24" s="79">
        <f t="shared" si="13"/>
        <v>17.2833031132689</v>
      </c>
      <c r="R24" s="80">
        <f t="shared" si="14"/>
        <v>-138.99860820120796</v>
      </c>
    </row>
    <row r="25" spans="3:20">
      <c r="C25" s="72">
        <f t="shared" si="9"/>
        <v>17</v>
      </c>
      <c r="D25" s="73">
        <f t="shared" si="0"/>
        <v>3.4117647058823533</v>
      </c>
      <c r="E25" s="106">
        <f t="shared" si="10"/>
        <v>2580.8615404180778</v>
      </c>
      <c r="F25" s="74">
        <f t="shared" si="1"/>
        <v>31.816697246740631</v>
      </c>
      <c r="G25" s="75">
        <f t="shared" si="11"/>
        <v>-90</v>
      </c>
      <c r="H25" s="76">
        <f t="shared" si="2"/>
        <v>70.135083812804481</v>
      </c>
      <c r="I25" s="77">
        <v>-90</v>
      </c>
      <c r="J25" s="78">
        <f t="shared" si="3"/>
        <v>3.9614119545275264</v>
      </c>
      <c r="K25" s="78">
        <f t="shared" si="4"/>
        <v>50.671427954448774</v>
      </c>
      <c r="L25" s="78">
        <f t="shared" si="5"/>
        <v>-2.999781216749127E-2</v>
      </c>
      <c r="M25" s="78">
        <f t="shared" si="6"/>
        <v>-4.7591046037350768</v>
      </c>
      <c r="N25" s="79">
        <f t="shared" si="7"/>
        <v>2.6291938357402813</v>
      </c>
      <c r="O25" s="80">
        <f t="shared" si="12"/>
        <v>-44.087676649286301</v>
      </c>
      <c r="P25" s="122">
        <f t="shared" si="8"/>
        <v>-19.734006834044891</v>
      </c>
      <c r="Q25" s="79">
        <f t="shared" si="13"/>
        <v>14.711884248436021</v>
      </c>
      <c r="R25" s="80">
        <f t="shared" si="14"/>
        <v>-134.08767664928629</v>
      </c>
    </row>
    <row r="26" spans="3:20">
      <c r="C26" s="72">
        <f t="shared" si="9"/>
        <v>18</v>
      </c>
      <c r="D26" s="73">
        <f t="shared" si="0"/>
        <v>3.5</v>
      </c>
      <c r="E26" s="106">
        <f t="shared" si="10"/>
        <v>3162.2776601683804</v>
      </c>
      <c r="F26" s="74">
        <f t="shared" si="1"/>
        <v>30.051991364387696</v>
      </c>
      <c r="G26" s="75">
        <f t="shared" si="11"/>
        <v>-90</v>
      </c>
      <c r="H26" s="76">
        <f t="shared" si="2"/>
        <v>68.370377930451554</v>
      </c>
      <c r="I26" s="77">
        <v>-90</v>
      </c>
      <c r="J26" s="78">
        <f t="shared" si="3"/>
        <v>5.100692333458257</v>
      </c>
      <c r="K26" s="78">
        <f t="shared" si="4"/>
        <v>56.230032784258846</v>
      </c>
      <c r="L26" s="78">
        <f t="shared" si="5"/>
        <v>-4.4958422394595084E-2</v>
      </c>
      <c r="M26" s="78">
        <f t="shared" si="6"/>
        <v>-5.8245353311046903</v>
      </c>
      <c r="N26" s="79">
        <f t="shared" si="7"/>
        <v>1.9888077220909821</v>
      </c>
      <c r="O26" s="80">
        <f t="shared" si="12"/>
        <v>-39.594502546845845</v>
      </c>
      <c r="P26" s="122">
        <f t="shared" si="8"/>
        <v>-19.734006834044891</v>
      </c>
      <c r="Q26" s="79">
        <f t="shared" si="13"/>
        <v>12.306792252433787</v>
      </c>
      <c r="R26" s="80">
        <f t="shared" si="14"/>
        <v>-129.59450254684583</v>
      </c>
    </row>
    <row r="27" spans="3:20">
      <c r="C27" s="72">
        <f t="shared" si="9"/>
        <v>19</v>
      </c>
      <c r="D27" s="73">
        <f t="shared" si="0"/>
        <v>3.5882352941176472</v>
      </c>
      <c r="E27" s="106">
        <f t="shared" si="10"/>
        <v>3874.6751204561324</v>
      </c>
      <c r="F27" s="74">
        <f t="shared" si="1"/>
        <v>28.287285482034758</v>
      </c>
      <c r="G27" s="75">
        <f t="shared" si="11"/>
        <v>-90</v>
      </c>
      <c r="H27" s="76">
        <f t="shared" si="2"/>
        <v>66.605672048098612</v>
      </c>
      <c r="I27" s="77">
        <v>-90</v>
      </c>
      <c r="J27" s="78">
        <f t="shared" si="3"/>
        <v>6.3924836757378456</v>
      </c>
      <c r="K27" s="78">
        <f t="shared" si="4"/>
        <v>61.376986740835527</v>
      </c>
      <c r="L27" s="78">
        <f t="shared" si="5"/>
        <v>-6.7322623599269132E-2</v>
      </c>
      <c r="M27" s="78">
        <f t="shared" si="6"/>
        <v>-7.1244250217947167</v>
      </c>
      <c r="N27" s="79">
        <f t="shared" si="7"/>
        <v>1.4935289808129681</v>
      </c>
      <c r="O27" s="80">
        <f t="shared" si="12"/>
        <v>-35.747438280959187</v>
      </c>
      <c r="P27" s="122">
        <f t="shared" si="8"/>
        <v>-19.734006834044891</v>
      </c>
      <c r="Q27" s="79">
        <f t="shared" si="13"/>
        <v>10.046807628802835</v>
      </c>
      <c r="R27" s="80">
        <f t="shared" si="14"/>
        <v>-125.74743828095919</v>
      </c>
    </row>
    <row r="28" spans="3:20">
      <c r="C28" s="72">
        <f t="shared" si="9"/>
        <v>20</v>
      </c>
      <c r="D28" s="73">
        <f t="shared" si="0"/>
        <v>3.6764705882352944</v>
      </c>
      <c r="E28" s="106">
        <f t="shared" si="10"/>
        <v>4747.5613789974323</v>
      </c>
      <c r="F28" s="74">
        <f t="shared" si="1"/>
        <v>26.522579599681801</v>
      </c>
      <c r="G28" s="75">
        <f t="shared" si="11"/>
        <v>-90</v>
      </c>
      <c r="H28" s="76">
        <f t="shared" si="2"/>
        <v>64.840966165745655</v>
      </c>
      <c r="I28" s="77">
        <v>-90</v>
      </c>
      <c r="J28" s="78">
        <f t="shared" si="3"/>
        <v>7.8109561094392044</v>
      </c>
      <c r="K28" s="78">
        <f t="shared" si="4"/>
        <v>65.991839028066195</v>
      </c>
      <c r="L28" s="78">
        <f t="shared" si="5"/>
        <v>-0.10068347598004219</v>
      </c>
      <c r="M28" s="78">
        <f t="shared" si="6"/>
        <v>-8.7070335807273871</v>
      </c>
      <c r="N28" s="79">
        <f t="shared" si="7"/>
        <v>1.1139346797805842</v>
      </c>
      <c r="O28" s="80">
        <f t="shared" si="12"/>
        <v>-32.715194552661188</v>
      </c>
      <c r="P28" s="122">
        <f t="shared" si="8"/>
        <v>-19.734006834044891</v>
      </c>
      <c r="Q28" s="79">
        <f t="shared" si="13"/>
        <v>7.9025074454174948</v>
      </c>
      <c r="R28" s="80">
        <f t="shared" si="14"/>
        <v>-122.71519455266119</v>
      </c>
    </row>
    <row r="29" spans="3:20">
      <c r="C29" s="72">
        <f t="shared" si="9"/>
        <v>21</v>
      </c>
      <c r="D29" s="73">
        <f t="shared" si="0"/>
        <v>3.7647058823529411</v>
      </c>
      <c r="E29" s="106">
        <f t="shared" si="10"/>
        <v>5817.0913293743606</v>
      </c>
      <c r="F29" s="74">
        <f t="shared" si="1"/>
        <v>24.757873717328877</v>
      </c>
      <c r="G29" s="75">
        <f t="shared" si="11"/>
        <v>-90</v>
      </c>
      <c r="H29" s="76">
        <f t="shared" si="2"/>
        <v>63.076260283392728</v>
      </c>
      <c r="I29" s="77">
        <v>-90</v>
      </c>
      <c r="J29" s="78">
        <f t="shared" si="3"/>
        <v>9.3287090232172645</v>
      </c>
      <c r="K29" s="78">
        <f t="shared" si="4"/>
        <v>70.023375410474941</v>
      </c>
      <c r="L29" s="78">
        <f t="shared" si="5"/>
        <v>-0.15029218839084074</v>
      </c>
      <c r="M29" s="78">
        <f t="shared" si="6"/>
        <v>-10.627852626710057</v>
      </c>
      <c r="N29" s="79">
        <f t="shared" si="7"/>
        <v>0.81737299879492298</v>
      </c>
      <c r="O29" s="80">
        <f t="shared" si="12"/>
        <v>-30.604477216235118</v>
      </c>
      <c r="P29" s="122">
        <f t="shared" si="8"/>
        <v>-19.734006834044891</v>
      </c>
      <c r="Q29" s="79">
        <f t="shared" si="13"/>
        <v>5.8412398820789093</v>
      </c>
      <c r="R29" s="80">
        <f t="shared" si="14"/>
        <v>-120.60447721623513</v>
      </c>
    </row>
    <row r="30" spans="3:20">
      <c r="C30" s="72">
        <f t="shared" si="9"/>
        <v>22</v>
      </c>
      <c r="D30" s="73">
        <f t="shared" si="0"/>
        <v>3.8529411764705883</v>
      </c>
      <c r="E30" s="106">
        <f t="shared" si="10"/>
        <v>7127.5648344389147</v>
      </c>
      <c r="F30" s="74">
        <f t="shared" si="1"/>
        <v>22.993167834975932</v>
      </c>
      <c r="G30" s="75">
        <f t="shared" si="11"/>
        <v>-90</v>
      </c>
      <c r="H30" s="76">
        <f t="shared" si="2"/>
        <v>61.311554401039785</v>
      </c>
      <c r="I30" s="77">
        <v>-90</v>
      </c>
      <c r="J30" s="78">
        <f t="shared" si="3"/>
        <v>10.920770120986486</v>
      </c>
      <c r="K30" s="78">
        <f t="shared" si="4"/>
        <v>73.475763286454224</v>
      </c>
      <c r="L30" s="78">
        <f t="shared" si="5"/>
        <v>-0.22372223324828269</v>
      </c>
      <c r="M30" s="78">
        <f t="shared" si="6"/>
        <v>-12.948489581571572</v>
      </c>
      <c r="N30" s="79">
        <f t="shared" si="7"/>
        <v>0.57129816935376709</v>
      </c>
      <c r="O30" s="80">
        <f t="shared" si="12"/>
        <v>-29.472726295117347</v>
      </c>
      <c r="P30" s="122">
        <f t="shared" si="8"/>
        <v>-19.734006834044891</v>
      </c>
      <c r="Q30" s="79">
        <f t="shared" si="13"/>
        <v>3.8304591702848079</v>
      </c>
      <c r="R30" s="80">
        <f t="shared" si="14"/>
        <v>-119.47272629511735</v>
      </c>
    </row>
    <row r="31" spans="3:20">
      <c r="C31" s="72">
        <f t="shared" si="9"/>
        <v>23</v>
      </c>
      <c r="D31" s="73">
        <f t="shared" si="0"/>
        <v>3.9411764705882355</v>
      </c>
      <c r="E31" s="106">
        <f t="shared" si="10"/>
        <v>8733.2616238284518</v>
      </c>
      <c r="F31" s="74">
        <f t="shared" si="1"/>
        <v>21.228461952622975</v>
      </c>
      <c r="G31" s="75">
        <f t="shared" si="11"/>
        <v>-90</v>
      </c>
      <c r="H31" s="76">
        <f t="shared" si="2"/>
        <v>59.546848518686836</v>
      </c>
      <c r="I31" s="77">
        <v>-90</v>
      </c>
      <c r="J31" s="78">
        <f t="shared" si="3"/>
        <v>12.56655010628727</v>
      </c>
      <c r="K31" s="78">
        <f t="shared" si="4"/>
        <v>76.389076268757194</v>
      </c>
      <c r="L31" s="78">
        <f t="shared" si="5"/>
        <v>-0.33168370504529665</v>
      </c>
      <c r="M31" s="78">
        <f t="shared" si="6"/>
        <v>-15.733489612229887</v>
      </c>
      <c r="N31" s="79">
        <f t="shared" si="7"/>
        <v>0.3444108005045905</v>
      </c>
      <c r="O31" s="80">
        <f t="shared" si="12"/>
        <v>-29.344413343472695</v>
      </c>
      <c r="P31" s="122">
        <f t="shared" si="8"/>
        <v>-19.734006834044891</v>
      </c>
      <c r="Q31" s="79">
        <f t="shared" si="13"/>
        <v>1.838865919082675</v>
      </c>
      <c r="R31" s="80">
        <f t="shared" si="14"/>
        <v>-119.3444133434727</v>
      </c>
    </row>
    <row r="32" spans="3:20">
      <c r="C32" s="72">
        <f t="shared" si="9"/>
        <v>24</v>
      </c>
      <c r="D32" s="73">
        <f t="shared" si="0"/>
        <v>4.0294117647058822</v>
      </c>
      <c r="E32" s="168">
        <f t="shared" si="10"/>
        <v>10700.689556931751</v>
      </c>
      <c r="F32" s="151">
        <f t="shared" si="1"/>
        <v>19.463756070270051</v>
      </c>
      <c r="G32" s="152">
        <f t="shared" si="11"/>
        <v>-90</v>
      </c>
      <c r="H32" s="151">
        <f t="shared" si="2"/>
        <v>57.782142636333909</v>
      </c>
      <c r="I32" s="153">
        <v>-90</v>
      </c>
      <c r="J32" s="154">
        <f t="shared" si="3"/>
        <v>14.250194894330983</v>
      </c>
      <c r="K32" s="154">
        <f t="shared" si="4"/>
        <v>78.821809810895303</v>
      </c>
      <c r="L32" s="154">
        <f t="shared" si="5"/>
        <v>-0.48888947958330886</v>
      </c>
      <c r="M32" s="154">
        <f t="shared" si="6"/>
        <v>-19.04383076609782</v>
      </c>
      <c r="N32" s="155">
        <f t="shared" si="7"/>
        <v>0.10614393165735692</v>
      </c>
      <c r="O32" s="156">
        <f t="shared" si="12"/>
        <v>-30.222020955202517</v>
      </c>
      <c r="P32" s="157">
        <f t="shared" si="8"/>
        <v>-19.734006834044891</v>
      </c>
      <c r="Q32" s="158">
        <f t="shared" si="13"/>
        <v>-0.16410683211748278</v>
      </c>
      <c r="R32" s="159">
        <f t="shared" si="14"/>
        <v>-120.22202095520251</v>
      </c>
      <c r="T32" s="160" t="s">
        <v>368</v>
      </c>
    </row>
    <row r="33" spans="1:18">
      <c r="C33" s="72">
        <f t="shared" si="9"/>
        <v>25</v>
      </c>
      <c r="D33" s="73">
        <f t="shared" si="0"/>
        <v>4.117647058823529</v>
      </c>
      <c r="E33" s="106">
        <f t="shared" si="10"/>
        <v>13111.339374215646</v>
      </c>
      <c r="F33" s="74">
        <f t="shared" si="1"/>
        <v>17.699050187917113</v>
      </c>
      <c r="G33" s="75">
        <f t="shared" si="11"/>
        <v>-90</v>
      </c>
      <c r="H33" s="76">
        <f t="shared" si="2"/>
        <v>56.017436753980967</v>
      </c>
      <c r="I33" s="77">
        <v>-90</v>
      </c>
      <c r="J33" s="78">
        <f t="shared" si="3"/>
        <v>15.96005532472676</v>
      </c>
      <c r="K33" s="78">
        <f t="shared" si="4"/>
        <v>80.838381871260708</v>
      </c>
      <c r="L33" s="78">
        <f t="shared" si="5"/>
        <v>-0.71470956959896415</v>
      </c>
      <c r="M33" s="78">
        <f t="shared" si="6"/>
        <v>-22.925758276641648</v>
      </c>
      <c r="N33" s="79">
        <f t="shared" si="7"/>
        <v>-0.17452161031546609</v>
      </c>
      <c r="O33" s="80">
        <f t="shared" si="12"/>
        <v>-32.087376405380937</v>
      </c>
      <c r="P33" s="122">
        <f t="shared" si="8"/>
        <v>-19.734006834044891</v>
      </c>
      <c r="Q33" s="79">
        <f t="shared" si="13"/>
        <v>-2.2094782564432442</v>
      </c>
      <c r="R33" s="80">
        <f t="shared" si="14"/>
        <v>-122.08737640538094</v>
      </c>
    </row>
    <row r="34" spans="1:18">
      <c r="C34" s="72">
        <f t="shared" si="9"/>
        <v>26</v>
      </c>
      <c r="D34" s="73">
        <f t="shared" si="0"/>
        <v>4.2058823529411766</v>
      </c>
      <c r="E34" s="106">
        <f t="shared" si="10"/>
        <v>16065.060038537315</v>
      </c>
      <c r="F34" s="74">
        <f t="shared" si="1"/>
        <v>15.934344305564155</v>
      </c>
      <c r="G34" s="75">
        <f t="shared" si="11"/>
        <v>-90</v>
      </c>
      <c r="H34" s="76">
        <f t="shared" si="2"/>
        <v>54.25273087162801</v>
      </c>
      <c r="I34" s="77">
        <v>-90</v>
      </c>
      <c r="J34" s="78">
        <f t="shared" si="3"/>
        <v>17.6878413616198</v>
      </c>
      <c r="K34" s="78">
        <f t="shared" si="4"/>
        <v>82.501557229489066</v>
      </c>
      <c r="L34" s="78">
        <f t="shared" si="5"/>
        <v>-1.0331101106123846</v>
      </c>
      <c r="M34" s="78">
        <f t="shared" si="6"/>
        <v>-27.394443434477843</v>
      </c>
      <c r="N34" s="79">
        <f t="shared" si="7"/>
        <v>-0.52984199678880373</v>
      </c>
      <c r="O34" s="80">
        <f t="shared" si="12"/>
        <v>-34.892886204988777</v>
      </c>
      <c r="P34" s="122">
        <f t="shared" si="8"/>
        <v>-19.734006834044891</v>
      </c>
      <c r="Q34" s="79">
        <f t="shared" si="13"/>
        <v>-4.3295045252695399</v>
      </c>
      <c r="R34" s="80">
        <f t="shared" si="14"/>
        <v>-124.89288620498877</v>
      </c>
    </row>
    <row r="35" spans="1:18">
      <c r="C35" s="72">
        <f t="shared" si="9"/>
        <v>27</v>
      </c>
      <c r="D35" s="73">
        <f t="shared" si="0"/>
        <v>4.2941176470588243</v>
      </c>
      <c r="E35" s="106">
        <f t="shared" si="10"/>
        <v>19684.194472866158</v>
      </c>
      <c r="F35" s="74">
        <f t="shared" si="1"/>
        <v>14.169638423211214</v>
      </c>
      <c r="G35" s="75">
        <f t="shared" si="11"/>
        <v>-90</v>
      </c>
      <c r="H35" s="76">
        <f t="shared" si="2"/>
        <v>52.488024989275068</v>
      </c>
      <c r="I35" s="77">
        <v>-90</v>
      </c>
      <c r="J35" s="78">
        <f t="shared" si="3"/>
        <v>19.427780190006878</v>
      </c>
      <c r="K35" s="78">
        <f t="shared" si="4"/>
        <v>83.868553417166495</v>
      </c>
      <c r="L35" s="78">
        <f t="shared" si="5"/>
        <v>-1.4711710000632596</v>
      </c>
      <c r="M35" s="78">
        <f t="shared" si="6"/>
        <v>-32.41448584240073</v>
      </c>
      <c r="N35" s="79">
        <f t="shared" si="7"/>
        <v>-0.99266994020554478</v>
      </c>
      <c r="O35" s="80">
        <f t="shared" si="12"/>
        <v>-38.545932425234234</v>
      </c>
      <c r="P35" s="122">
        <f t="shared" si="8"/>
        <v>-19.734006834044891</v>
      </c>
      <c r="Q35" s="79">
        <f t="shared" si="13"/>
        <v>-6.5570383510392212</v>
      </c>
      <c r="R35" s="80">
        <f t="shared" si="14"/>
        <v>-128.54593242523424</v>
      </c>
    </row>
    <row r="36" spans="1:18">
      <c r="C36" s="72">
        <f t="shared" si="9"/>
        <v>28</v>
      </c>
      <c r="D36" s="73">
        <f t="shared" si="0"/>
        <v>4.382352941176471</v>
      </c>
      <c r="E36" s="106">
        <f t="shared" si="10"/>
        <v>24118.646996410022</v>
      </c>
      <c r="F36" s="74">
        <f t="shared" si="1"/>
        <v>12.404932540858271</v>
      </c>
      <c r="G36" s="75">
        <f t="shared" si="11"/>
        <v>-90</v>
      </c>
      <c r="H36" s="76">
        <f t="shared" si="2"/>
        <v>50.723319106922126</v>
      </c>
      <c r="I36" s="77">
        <v>-90</v>
      </c>
      <c r="J36" s="78">
        <f t="shared" si="3"/>
        <v>21.175910397334789</v>
      </c>
      <c r="K36" s="78">
        <f t="shared" si="4"/>
        <v>84.989501885699809</v>
      </c>
      <c r="L36" s="78">
        <f t="shared" si="5"/>
        <v>-2.0556066291303936</v>
      </c>
      <c r="M36" s="78">
        <f t="shared" si="6"/>
        <v>-37.883660413609398</v>
      </c>
      <c r="N36" s="79">
        <f t="shared" si="7"/>
        <v>-1.5936812442977129</v>
      </c>
      <c r="O36" s="80">
        <f t="shared" si="12"/>
        <v>-42.894158527909589</v>
      </c>
      <c r="P36" s="122">
        <f t="shared" si="8"/>
        <v>-19.734006834044891</v>
      </c>
      <c r="Q36" s="79">
        <f t="shared" si="13"/>
        <v>-8.922755537484333</v>
      </c>
      <c r="R36" s="80">
        <f t="shared" si="14"/>
        <v>-132.89415852790958</v>
      </c>
    </row>
    <row r="37" spans="1:18">
      <c r="C37" s="72">
        <f t="shared" si="9"/>
        <v>29</v>
      </c>
      <c r="D37" s="73">
        <f t="shared" si="0"/>
        <v>4.4705882352941178</v>
      </c>
      <c r="E37" s="106">
        <f t="shared" si="10"/>
        <v>29552.092352028933</v>
      </c>
      <c r="F37" s="74">
        <f t="shared" si="1"/>
        <v>10.640226658505332</v>
      </c>
      <c r="G37" s="75">
        <f t="shared" si="11"/>
        <v>-90</v>
      </c>
      <c r="H37" s="76">
        <f t="shared" si="2"/>
        <v>48.958613224569191</v>
      </c>
      <c r="I37" s="77">
        <v>-90</v>
      </c>
      <c r="J37" s="78">
        <f t="shared" si="3"/>
        <v>22.929540269015774</v>
      </c>
      <c r="K37" s="78">
        <f t="shared" si="4"/>
        <v>85.907250640414574</v>
      </c>
      <c r="L37" s="78">
        <f t="shared" si="5"/>
        <v>-2.8075317263429871</v>
      </c>
      <c r="M37" s="78">
        <f t="shared" si="6"/>
        <v>-43.630216936324913</v>
      </c>
      <c r="N37" s="79">
        <f t="shared" si="7"/>
        <v>-2.3566823521822471</v>
      </c>
      <c r="O37" s="80">
        <f t="shared" si="12"/>
        <v>-47.722966295910339</v>
      </c>
      <c r="P37" s="122">
        <f t="shared" si="8"/>
        <v>-19.734006834044891</v>
      </c>
      <c r="Q37" s="79">
        <f t="shared" si="13"/>
        <v>-11.450462527721806</v>
      </c>
      <c r="R37" s="80">
        <f t="shared" si="14"/>
        <v>-137.72296629591034</v>
      </c>
    </row>
    <row r="38" spans="1:18">
      <c r="C38" s="72">
        <f t="shared" si="9"/>
        <v>30</v>
      </c>
      <c r="D38" s="73">
        <f t="shared" si="0"/>
        <v>4.5588235294117645</v>
      </c>
      <c r="E38" s="106">
        <f t="shared" si="10"/>
        <v>36209.583502459194</v>
      </c>
      <c r="F38" s="74">
        <f t="shared" si="1"/>
        <v>8.8755207761524044</v>
      </c>
      <c r="G38" s="75">
        <f t="shared" si="11"/>
        <v>-90</v>
      </c>
      <c r="H38" s="76">
        <f t="shared" si="2"/>
        <v>47.193907342216264</v>
      </c>
      <c r="I38" s="77">
        <v>-90</v>
      </c>
      <c r="J38" s="78">
        <f t="shared" si="3"/>
        <v>24.68685288580221</v>
      </c>
      <c r="K38" s="78">
        <f t="shared" si="4"/>
        <v>86.657845912845872</v>
      </c>
      <c r="L38" s="78">
        <f t="shared" si="5"/>
        <v>-3.7371054085310522</v>
      </c>
      <c r="M38" s="78">
        <f t="shared" si="6"/>
        <v>-49.432276467086353</v>
      </c>
      <c r="N38" s="79">
        <f t="shared" si="7"/>
        <v>-3.2936492999368028</v>
      </c>
      <c r="O38" s="80">
        <f t="shared" si="12"/>
        <v>-52.774430554240482</v>
      </c>
      <c r="P38" s="122">
        <f t="shared" si="8"/>
        <v>-19.734006834044891</v>
      </c>
      <c r="Q38" s="79">
        <f t="shared" si="13"/>
        <v>-14.152135357829289</v>
      </c>
      <c r="R38" s="80">
        <f t="shared" si="14"/>
        <v>-142.7744305542405</v>
      </c>
    </row>
    <row r="39" spans="1:18">
      <c r="C39" s="72">
        <f t="shared" si="9"/>
        <v>31</v>
      </c>
      <c r="D39" s="73">
        <f t="shared" si="0"/>
        <v>4.6470588235294121</v>
      </c>
      <c r="E39" s="106">
        <f t="shared" si="10"/>
        <v>44366.873309786206</v>
      </c>
      <c r="F39" s="74">
        <f t="shared" si="1"/>
        <v>7.1108148937994482</v>
      </c>
      <c r="G39" s="75">
        <f t="shared" si="11"/>
        <v>-90</v>
      </c>
      <c r="H39" s="76">
        <f t="shared" si="2"/>
        <v>45.4292014598633</v>
      </c>
      <c r="I39" s="77">
        <v>-90</v>
      </c>
      <c r="J39" s="78">
        <f t="shared" si="3"/>
        <v>26.446627234660337</v>
      </c>
      <c r="K39" s="78">
        <f t="shared" si="4"/>
        <v>87.271300821513066</v>
      </c>
      <c r="L39" s="78">
        <f t="shared" si="5"/>
        <v>-4.8405817267809468</v>
      </c>
      <c r="M39" s="78">
        <f t="shared" si="6"/>
        <v>-55.05724797447818</v>
      </c>
      <c r="N39" s="79">
        <f t="shared" si="7"/>
        <v>-4.4020571516815323</v>
      </c>
      <c r="O39" s="80">
        <f t="shared" si="12"/>
        <v>-57.785947152965115</v>
      </c>
      <c r="P39" s="122">
        <f t="shared" si="8"/>
        <v>-19.734006834044891</v>
      </c>
      <c r="Q39" s="79">
        <f t="shared" si="13"/>
        <v>-17.025249091926973</v>
      </c>
      <c r="R39" s="80">
        <f t="shared" si="14"/>
        <v>-147.78594715296512</v>
      </c>
    </row>
    <row r="40" spans="1:18">
      <c r="A40" s="128"/>
      <c r="B40" s="128"/>
      <c r="C40" s="72">
        <f t="shared" si="9"/>
        <v>32</v>
      </c>
      <c r="D40" s="73">
        <f t="shared" si="0"/>
        <v>4.7352941176470589</v>
      </c>
      <c r="E40" s="106">
        <f t="shared" si="10"/>
        <v>54361.83620153847</v>
      </c>
      <c r="F40" s="74">
        <f t="shared" si="1"/>
        <v>5.346109011446508</v>
      </c>
      <c r="G40" s="75">
        <f t="shared" si="11"/>
        <v>-90</v>
      </c>
      <c r="H40" s="76">
        <f t="shared" si="2"/>
        <v>43.664495577510365</v>
      </c>
      <c r="I40" s="77">
        <v>-90</v>
      </c>
      <c r="J40" s="78">
        <f t="shared" si="3"/>
        <v>28.208045188359524</v>
      </c>
      <c r="K40" s="78">
        <f t="shared" si="4"/>
        <v>87.772436778107007</v>
      </c>
      <c r="L40" s="78">
        <f t="shared" si="5"/>
        <v>-6.1014249956533915</v>
      </c>
      <c r="M40" s="78">
        <f t="shared" si="6"/>
        <v>-60.305919187123592</v>
      </c>
      <c r="N40" s="79">
        <f t="shared" si="7"/>
        <v>-5.6661883492077294</v>
      </c>
      <c r="O40" s="80">
        <f t="shared" si="12"/>
        <v>-62.533482409016585</v>
      </c>
      <c r="P40" s="122">
        <f t="shared" si="8"/>
        <v>-19.734006834044891</v>
      </c>
      <c r="Q40" s="79">
        <f t="shared" si="13"/>
        <v>-20.054086171806112</v>
      </c>
      <c r="R40" s="80">
        <f t="shared" si="14"/>
        <v>-152.53348240901659</v>
      </c>
    </row>
    <row r="41" spans="1:18">
      <c r="C41" s="72">
        <f t="shared" si="9"/>
        <v>33</v>
      </c>
      <c r="D41" s="73">
        <f t="shared" si="0"/>
        <v>4.8235294117647065</v>
      </c>
      <c r="E41" s="106">
        <f t="shared" si="10"/>
        <v>66608.462908091708</v>
      </c>
      <c r="F41" s="74">
        <f t="shared" si="1"/>
        <v>3.5814031290935677</v>
      </c>
      <c r="G41" s="75">
        <f t="shared" si="11"/>
        <v>-90</v>
      </c>
      <c r="H41" s="76">
        <f t="shared" si="2"/>
        <v>41.899789695157423</v>
      </c>
      <c r="I41" s="77">
        <v>-90</v>
      </c>
      <c r="J41" s="78">
        <f t="shared" si="3"/>
        <v>29.97055964996013</v>
      </c>
      <c r="K41" s="78">
        <f t="shared" si="4"/>
        <v>88.181690269898183</v>
      </c>
      <c r="L41" s="78">
        <f t="shared" si="5"/>
        <v>-7.4948433613040777</v>
      </c>
      <c r="M41" s="78">
        <f t="shared" si="6"/>
        <v>-65.042432535432454</v>
      </c>
      <c r="N41" s="79">
        <f t="shared" si="7"/>
        <v>-7.0617981356107578</v>
      </c>
      <c r="O41" s="80">
        <f t="shared" si="12"/>
        <v>-66.86074226553427</v>
      </c>
      <c r="P41" s="122">
        <f t="shared" si="8"/>
        <v>-19.734006834044891</v>
      </c>
      <c r="Q41" s="79">
        <f t="shared" si="13"/>
        <v>-23.214401840562083</v>
      </c>
      <c r="R41" s="80">
        <f t="shared" si="14"/>
        <v>-156.86074226553427</v>
      </c>
    </row>
    <row r="42" spans="1:18">
      <c r="A42" s="128"/>
      <c r="C42" s="72">
        <f t="shared" si="9"/>
        <v>34</v>
      </c>
      <c r="D42" s="73">
        <f t="shared" si="0"/>
        <v>4.9117647058823533</v>
      </c>
      <c r="E42" s="106">
        <f t="shared" si="10"/>
        <v>81614.007932518449</v>
      </c>
      <c r="F42" s="74">
        <f t="shared" si="1"/>
        <v>1.8166972467406266</v>
      </c>
      <c r="G42" s="75">
        <f t="shared" si="11"/>
        <v>-90</v>
      </c>
      <c r="H42" s="76">
        <f t="shared" si="2"/>
        <v>40.135083812804481</v>
      </c>
      <c r="I42" s="77">
        <v>-90</v>
      </c>
      <c r="J42" s="78">
        <f t="shared" si="3"/>
        <v>31.733805246823895</v>
      </c>
      <c r="K42" s="78">
        <f t="shared" si="4"/>
        <v>88.515837952600137</v>
      </c>
      <c r="L42" s="78">
        <f t="shared" si="5"/>
        <v>-8.9933679847233847</v>
      </c>
      <c r="M42" s="78">
        <f t="shared" si="6"/>
        <v>-69.201381428198687</v>
      </c>
      <c r="N42" s="79">
        <f t="shared" si="7"/>
        <v>-8.5617830445192382</v>
      </c>
      <c r="O42" s="80">
        <f t="shared" si="12"/>
        <v>-70.68554347559855</v>
      </c>
      <c r="P42" s="122">
        <f t="shared" si="8"/>
        <v>-19.734006834044891</v>
      </c>
      <c r="Q42" s="79">
        <f t="shared" si="13"/>
        <v>-26.479092631823502</v>
      </c>
      <c r="R42" s="80">
        <f t="shared" si="14"/>
        <v>-160.68554347559854</v>
      </c>
    </row>
    <row r="43" spans="1:18">
      <c r="C43" s="72">
        <f t="shared" si="9"/>
        <v>35</v>
      </c>
      <c r="D43" s="73">
        <f t="shared" si="0"/>
        <v>5</v>
      </c>
      <c r="E43" s="106">
        <f t="shared" si="10"/>
        <v>100000</v>
      </c>
      <c r="F43" s="74">
        <f t="shared" si="1"/>
        <v>5.1991364387700356E-2</v>
      </c>
      <c r="G43" s="75">
        <f t="shared" si="11"/>
        <v>-90</v>
      </c>
      <c r="H43" s="76">
        <f t="shared" si="2"/>
        <v>38.370377930451561</v>
      </c>
      <c r="I43" s="77">
        <v>-90</v>
      </c>
      <c r="J43" s="78">
        <f t="shared" si="3"/>
        <v>33.497538182936623</v>
      </c>
      <c r="K43" s="78">
        <f t="shared" si="4"/>
        <v>88.788625160094071</v>
      </c>
      <c r="L43" s="78">
        <f t="shared" si="5"/>
        <v>-10.571267900811192</v>
      </c>
      <c r="M43" s="78">
        <f t="shared" si="6"/>
        <v>-72.776562733752925</v>
      </c>
      <c r="N43" s="79">
        <f t="shared" si="7"/>
        <v>-10.140655906847229</v>
      </c>
      <c r="O43" s="80">
        <f t="shared" si="12"/>
        <v>-73.987937573658854</v>
      </c>
      <c r="P43" s="122">
        <f t="shared" si="8"/>
        <v>-19.734006834044891</v>
      </c>
      <c r="Q43" s="79">
        <f t="shared" si="13"/>
        <v>-29.82267137650442</v>
      </c>
      <c r="R43" s="80">
        <f t="shared" si="14"/>
        <v>-163.98793757365885</v>
      </c>
    </row>
    <row r="44" spans="1:18">
      <c r="C44" s="72">
        <f t="shared" si="9"/>
        <v>36</v>
      </c>
      <c r="D44" s="73">
        <f t="shared" si="0"/>
        <v>5.0882352941176467</v>
      </c>
      <c r="E44" s="106">
        <f t="shared" si="10"/>
        <v>122527.9857382865</v>
      </c>
      <c r="F44" s="74">
        <f t="shared" si="1"/>
        <v>-1.712714517965241</v>
      </c>
      <c r="G44" s="75">
        <f t="shared" si="11"/>
        <v>-90</v>
      </c>
      <c r="H44" s="76">
        <f t="shared" si="2"/>
        <v>36.605672048098612</v>
      </c>
      <c r="I44" s="77">
        <v>-90</v>
      </c>
      <c r="J44" s="78">
        <f t="shared" si="3"/>
        <v>35.261595879787436</v>
      </c>
      <c r="K44" s="78">
        <f t="shared" si="4"/>
        <v>89.011299008512978</v>
      </c>
      <c r="L44" s="78">
        <f t="shared" si="5"/>
        <v>-12.206932093491352</v>
      </c>
      <c r="M44" s="78">
        <f t="shared" si="6"/>
        <v>-75.801909226628652</v>
      </c>
      <c r="N44" s="79">
        <f t="shared" si="7"/>
        <v>-11.776968285029533</v>
      </c>
      <c r="O44" s="80">
        <f t="shared" si="12"/>
        <v>-76.790610218115674</v>
      </c>
      <c r="P44" s="122">
        <f t="shared" si="8"/>
        <v>-19.734006834044891</v>
      </c>
      <c r="Q44" s="79">
        <f t="shared" si="13"/>
        <v>-33.223689637039662</v>
      </c>
      <c r="R44" s="80">
        <f t="shared" si="14"/>
        <v>-166.79061021811566</v>
      </c>
    </row>
    <row r="45" spans="1:18">
      <c r="C45" s="72">
        <f t="shared" si="9"/>
        <v>37</v>
      </c>
      <c r="D45" s="73">
        <f t="shared" si="0"/>
        <v>5.1764705882352944</v>
      </c>
      <c r="E45" s="106">
        <f t="shared" si="10"/>
        <v>150131.07289081762</v>
      </c>
      <c r="F45" s="74">
        <f t="shared" si="1"/>
        <v>-3.4774204003181968</v>
      </c>
      <c r="G45" s="75">
        <f t="shared" si="11"/>
        <v>-90</v>
      </c>
      <c r="H45" s="76">
        <f t="shared" si="2"/>
        <v>34.840966165745655</v>
      </c>
      <c r="I45" s="77">
        <v>-90</v>
      </c>
      <c r="J45" s="78">
        <f t="shared" si="3"/>
        <v>37.025869962054614</v>
      </c>
      <c r="K45" s="78">
        <f t="shared" si="4"/>
        <v>89.193054505837949</v>
      </c>
      <c r="L45" s="78">
        <f t="shared" si="5"/>
        <v>-13.883507403619204</v>
      </c>
      <c r="M45" s="78">
        <f t="shared" si="6"/>
        <v>-78.333175878608088</v>
      </c>
      <c r="N45" s="79">
        <f t="shared" si="7"/>
        <v>-13.453975395243162</v>
      </c>
      <c r="O45" s="80">
        <f t="shared" si="12"/>
        <v>-79.140121372770139</v>
      </c>
      <c r="P45" s="122">
        <f t="shared" si="8"/>
        <v>-19.734006834044891</v>
      </c>
      <c r="Q45" s="79">
        <f t="shared" si="13"/>
        <v>-36.665402629606248</v>
      </c>
      <c r="R45" s="80">
        <f t="shared" si="14"/>
        <v>-169.14012137277012</v>
      </c>
    </row>
    <row r="46" spans="1:18">
      <c r="C46" s="72">
        <f t="shared" si="9"/>
        <v>38</v>
      </c>
      <c r="D46" s="73">
        <f t="shared" si="0"/>
        <v>5.264705882352942</v>
      </c>
      <c r="E46" s="106">
        <f t="shared" si="10"/>
        <v>183952.57958039781</v>
      </c>
      <c r="F46" s="74">
        <f t="shared" si="1"/>
        <v>-5.2421262826711548</v>
      </c>
      <c r="G46" s="75">
        <f t="shared" si="11"/>
        <v>-90</v>
      </c>
      <c r="H46" s="76">
        <f t="shared" si="2"/>
        <v>33.076260283392706</v>
      </c>
      <c r="I46" s="77">
        <v>-90</v>
      </c>
      <c r="J46" s="78">
        <f t="shared" si="3"/>
        <v>38.790288205183792</v>
      </c>
      <c r="K46" s="78">
        <f t="shared" si="4"/>
        <v>89.341404655908633</v>
      </c>
      <c r="L46" s="78">
        <f t="shared" si="5"/>
        <v>-15.588502595124787</v>
      </c>
      <c r="M46" s="78">
        <f t="shared" si="6"/>
        <v>-80.434295250473042</v>
      </c>
      <c r="N46" s="79">
        <f t="shared" si="7"/>
        <v>-15.159258225972515</v>
      </c>
      <c r="O46" s="80">
        <f t="shared" si="12"/>
        <v>-81.092890594564409</v>
      </c>
      <c r="P46" s="122">
        <f t="shared" si="8"/>
        <v>-19.734006834044891</v>
      </c>
      <c r="Q46" s="79">
        <f t="shared" si="13"/>
        <v>-40.135391342688564</v>
      </c>
      <c r="R46" s="80">
        <f t="shared" si="14"/>
        <v>-171.09289059456441</v>
      </c>
    </row>
    <row r="47" spans="1:18">
      <c r="C47" s="72">
        <f t="shared" si="9"/>
        <v>39</v>
      </c>
      <c r="D47" s="73">
        <f t="shared" si="0"/>
        <v>5.3529411764705888</v>
      </c>
      <c r="E47" s="106">
        <f t="shared" si="10"/>
        <v>225393.39047347952</v>
      </c>
      <c r="F47" s="74">
        <f t="shared" si="1"/>
        <v>-7.0068321650240808</v>
      </c>
      <c r="G47" s="75">
        <f t="shared" si="11"/>
        <v>-90</v>
      </c>
      <c r="H47" s="76">
        <f t="shared" si="2"/>
        <v>31.311554401039775</v>
      </c>
      <c r="I47" s="77">
        <v>-90</v>
      </c>
      <c r="J47" s="78">
        <f t="shared" si="3"/>
        <v>40.554802484899675</v>
      </c>
      <c r="K47" s="78">
        <f t="shared" si="4"/>
        <v>89.462485794431416</v>
      </c>
      <c r="L47" s="78">
        <f t="shared" si="5"/>
        <v>-17.31297565033794</v>
      </c>
      <c r="M47" s="78">
        <f t="shared" si="6"/>
        <v>-82.168824401221002</v>
      </c>
      <c r="N47" s="79">
        <f t="shared" si="7"/>
        <v>-16.883922883822713</v>
      </c>
      <c r="O47" s="80">
        <f t="shared" si="12"/>
        <v>-82.706338606789586</v>
      </c>
      <c r="P47" s="122">
        <f t="shared" si="8"/>
        <v>-19.734006834044891</v>
      </c>
      <c r="Q47" s="79">
        <f t="shared" si="13"/>
        <v>-43.624761882891683</v>
      </c>
      <c r="R47" s="80">
        <f t="shared" si="14"/>
        <v>-172.70633860678959</v>
      </c>
    </row>
    <row r="48" spans="1:18" ht="15.75" thickBot="1">
      <c r="C48" s="72">
        <f t="shared" si="9"/>
        <v>40</v>
      </c>
      <c r="D48" s="73">
        <f t="shared" si="0"/>
        <v>5.4411764705882355</v>
      </c>
      <c r="E48" s="108">
        <f t="shared" si="10"/>
        <v>276169.98133438535</v>
      </c>
      <c r="F48" s="100">
        <f t="shared" si="1"/>
        <v>-8.7715380473770228</v>
      </c>
      <c r="G48" s="101">
        <f t="shared" si="11"/>
        <v>-90</v>
      </c>
      <c r="H48" s="102">
        <f t="shared" si="2"/>
        <v>29.546848518686836</v>
      </c>
      <c r="I48" s="103">
        <v>-90</v>
      </c>
      <c r="J48" s="99">
        <f t="shared" si="3"/>
        <v>42.319380738990581</v>
      </c>
      <c r="K48" s="99">
        <f t="shared" si="4"/>
        <v>89.561308571821968</v>
      </c>
      <c r="L48" s="99">
        <f>-10*LOG10((E48/Fp0)^2+1)</f>
        <v>-78.996295589800368</v>
      </c>
      <c r="M48" s="99">
        <f t="shared" si="6"/>
        <v>-83.5953738242535</v>
      </c>
      <c r="N48" s="104">
        <f t="shared" si="7"/>
        <v>-78.567370451547177</v>
      </c>
      <c r="O48" s="105">
        <f t="shared" si="12"/>
        <v>-84.034065252431532</v>
      </c>
      <c r="P48" s="123">
        <f t="shared" si="8"/>
        <v>-19.734006834044891</v>
      </c>
      <c r="Q48" s="104">
        <f t="shared" si="13"/>
        <v>-107.07291533296909</v>
      </c>
      <c r="R48" s="105">
        <f t="shared" si="14"/>
        <v>-174.03406525243153</v>
      </c>
    </row>
    <row r="49" spans="1:19">
      <c r="C49" s="81"/>
      <c r="D49" s="82"/>
      <c r="E49" s="83"/>
      <c r="F49" s="83"/>
      <c r="G49" s="84"/>
      <c r="H49" s="85"/>
      <c r="I49" s="86"/>
      <c r="J49" s="85"/>
      <c r="K49" s="85"/>
      <c r="L49" s="85"/>
      <c r="M49" s="85"/>
      <c r="N49" s="87"/>
      <c r="O49" s="87"/>
      <c r="P49" s="87"/>
      <c r="Q49" s="87"/>
      <c r="R49" s="87"/>
      <c r="S49" s="64"/>
    </row>
    <row r="50" spans="1:19">
      <c r="C50" s="81"/>
      <c r="D50" s="82"/>
      <c r="E50" s="88"/>
      <c r="F50" s="64"/>
      <c r="G50" s="64"/>
    </row>
    <row r="51" spans="1:19">
      <c r="C51" s="81"/>
      <c r="D51" s="82"/>
      <c r="E51" s="88"/>
      <c r="F51" s="64"/>
      <c r="G51" s="64"/>
    </row>
    <row r="52" spans="1:19">
      <c r="C52" s="81"/>
      <c r="D52" s="82"/>
      <c r="E52" s="88"/>
      <c r="F52" s="64"/>
      <c r="G52" s="64"/>
    </row>
    <row r="53" spans="1:19" ht="15.75" thickBot="1">
      <c r="C53" s="81"/>
      <c r="D53" s="82"/>
      <c r="E53" s="88"/>
      <c r="F53" s="64"/>
      <c r="G53" s="64"/>
    </row>
    <row r="54" spans="1:19" ht="69.75" customHeight="1" thickBot="1">
      <c r="A54" s="183" t="s">
        <v>217</v>
      </c>
      <c r="B54" s="184"/>
      <c r="C54" s="184"/>
      <c r="D54" s="184"/>
      <c r="E54" s="184"/>
      <c r="F54" s="184"/>
      <c r="G54" s="184"/>
      <c r="H54" s="184"/>
      <c r="I54" s="184"/>
      <c r="J54" s="184"/>
      <c r="K54" s="184"/>
      <c r="L54" s="184"/>
      <c r="M54" s="184"/>
      <c r="N54" s="184"/>
      <c r="O54" s="184"/>
      <c r="P54" s="184"/>
      <c r="Q54" s="184"/>
      <c r="R54" s="185"/>
    </row>
    <row r="55" spans="1:19">
      <c r="C55" s="81"/>
      <c r="D55" s="82"/>
      <c r="E55" s="88"/>
      <c r="F55" s="64"/>
      <c r="G55" s="64"/>
    </row>
    <row r="56" spans="1:19">
      <c r="C56" s="81"/>
      <c r="D56" s="82"/>
      <c r="E56" s="88"/>
      <c r="F56" s="64"/>
      <c r="G56" s="64"/>
    </row>
    <row r="57" spans="1:19">
      <c r="C57" s="81"/>
      <c r="D57" s="82"/>
      <c r="E57" s="88"/>
      <c r="F57" s="64"/>
      <c r="G57" s="64"/>
    </row>
    <row r="58" spans="1:19">
      <c r="C58" s="81"/>
      <c r="D58" s="82"/>
      <c r="E58" s="88"/>
      <c r="F58" s="64"/>
      <c r="G58" s="64"/>
    </row>
    <row r="59" spans="1:19">
      <c r="C59" s="81"/>
      <c r="D59" s="82"/>
      <c r="E59" s="88"/>
      <c r="F59" s="64"/>
      <c r="G59" s="64"/>
    </row>
    <row r="60" spans="1:19">
      <c r="C60" s="81"/>
      <c r="D60" s="82"/>
      <c r="E60" s="88"/>
      <c r="F60" s="64"/>
      <c r="G60" s="64"/>
    </row>
    <row r="61" spans="1:19">
      <c r="C61" s="81"/>
      <c r="D61" s="82"/>
      <c r="E61" s="88"/>
      <c r="F61" s="64"/>
      <c r="G61" s="64"/>
    </row>
    <row r="62" spans="1:19">
      <c r="C62" s="81"/>
      <c r="D62" s="82"/>
      <c r="E62" s="88"/>
      <c r="F62" s="64"/>
      <c r="G62" s="64"/>
    </row>
    <row r="63" spans="1:19">
      <c r="C63" s="81"/>
      <c r="D63" s="82"/>
      <c r="E63" s="88"/>
      <c r="F63" s="64"/>
      <c r="G63" s="64"/>
    </row>
    <row r="64" spans="1:19">
      <c r="C64" s="64"/>
      <c r="D64" s="82"/>
      <c r="E64" s="88"/>
      <c r="F64" s="64"/>
      <c r="G64" s="64"/>
    </row>
    <row r="65" spans="3:7">
      <c r="C65" s="64"/>
      <c r="D65" s="82"/>
      <c r="E65" s="88"/>
      <c r="F65" s="64"/>
      <c r="G65" s="64"/>
    </row>
    <row r="66" spans="3:7">
      <c r="C66" s="64"/>
      <c r="D66" s="82"/>
      <c r="E66" s="88"/>
      <c r="F66" s="64"/>
      <c r="G66" s="64"/>
    </row>
    <row r="67" spans="3:7">
      <c r="C67" s="64"/>
      <c r="D67" s="82"/>
      <c r="E67" s="88"/>
      <c r="F67" s="64"/>
      <c r="G67" s="64"/>
    </row>
    <row r="68" spans="3:7">
      <c r="C68" s="64"/>
      <c r="D68" s="82"/>
      <c r="E68" s="88"/>
      <c r="F68" s="64"/>
      <c r="G68" s="64"/>
    </row>
    <row r="69" spans="3:7">
      <c r="C69" s="64"/>
      <c r="D69" s="82"/>
      <c r="E69" s="88"/>
      <c r="F69" s="64"/>
      <c r="G69" s="64"/>
    </row>
    <row r="70" spans="3:7">
      <c r="C70" s="64"/>
      <c r="D70" s="82"/>
      <c r="E70" s="88"/>
      <c r="F70" s="64"/>
      <c r="G70" s="64"/>
    </row>
    <row r="71" spans="3:7">
      <c r="C71" s="64"/>
      <c r="D71" s="82"/>
      <c r="E71" s="88"/>
      <c r="F71" s="64"/>
      <c r="G71" s="64"/>
    </row>
    <row r="72" spans="3:7">
      <c r="C72" s="64"/>
      <c r="D72" s="82"/>
      <c r="E72" s="88"/>
      <c r="F72" s="64"/>
      <c r="G72" s="64"/>
    </row>
    <row r="73" spans="3:7">
      <c r="C73" s="64"/>
      <c r="D73" s="82"/>
      <c r="E73" s="88"/>
      <c r="F73" s="64"/>
      <c r="G73" s="64"/>
    </row>
    <row r="74" spans="3:7">
      <c r="C74" s="64"/>
      <c r="D74" s="82"/>
      <c r="E74" s="88"/>
      <c r="F74" s="64"/>
      <c r="G74" s="64"/>
    </row>
    <row r="75" spans="3:7">
      <c r="C75" s="64"/>
      <c r="D75" s="82"/>
      <c r="E75" s="88"/>
      <c r="F75" s="64"/>
      <c r="G75" s="64"/>
    </row>
    <row r="76" spans="3:7">
      <c r="C76" s="64"/>
      <c r="D76" s="82"/>
      <c r="E76" s="88"/>
      <c r="F76" s="64"/>
      <c r="G76" s="64"/>
    </row>
    <row r="77" spans="3:7">
      <c r="C77" s="64"/>
      <c r="D77" s="82"/>
      <c r="E77" s="88"/>
      <c r="F77" s="64"/>
      <c r="G77" s="64"/>
    </row>
    <row r="78" spans="3:7">
      <c r="C78" s="64"/>
      <c r="D78" s="82"/>
      <c r="E78" s="88"/>
      <c r="F78" s="64"/>
      <c r="G78" s="64"/>
    </row>
    <row r="79" spans="3:7">
      <c r="C79" s="64"/>
      <c r="D79" s="82"/>
      <c r="E79" s="88"/>
      <c r="F79" s="64"/>
      <c r="G79" s="64"/>
    </row>
    <row r="80" spans="3:7">
      <c r="C80" s="64"/>
      <c r="D80" s="82"/>
      <c r="E80" s="88"/>
      <c r="F80" s="64"/>
      <c r="G80" s="64"/>
    </row>
    <row r="81" spans="3:7">
      <c r="C81" s="64"/>
      <c r="D81" s="82"/>
      <c r="E81" s="88"/>
      <c r="F81" s="64"/>
      <c r="G81" s="64"/>
    </row>
    <row r="82" spans="3:7">
      <c r="C82" s="64"/>
      <c r="D82" s="82"/>
      <c r="E82" s="88"/>
      <c r="F82" s="64"/>
      <c r="G82" s="64"/>
    </row>
    <row r="83" spans="3:7">
      <c r="C83" s="64"/>
      <c r="D83" s="82"/>
      <c r="E83" s="88"/>
      <c r="F83" s="64"/>
      <c r="G83" s="64"/>
    </row>
    <row r="84" spans="3:7">
      <c r="C84" s="64"/>
      <c r="D84" s="82"/>
      <c r="E84" s="88"/>
      <c r="F84" s="64"/>
      <c r="G84" s="64"/>
    </row>
    <row r="85" spans="3:7">
      <c r="C85" s="64"/>
      <c r="D85" s="82"/>
      <c r="E85" s="88"/>
      <c r="F85" s="64"/>
      <c r="G85" s="64"/>
    </row>
    <row r="86" spans="3:7">
      <c r="C86" s="64"/>
      <c r="D86" s="82"/>
      <c r="E86" s="88"/>
      <c r="F86" s="64"/>
      <c r="G86" s="64"/>
    </row>
    <row r="87" spans="3:7">
      <c r="C87" s="64"/>
      <c r="D87" s="82"/>
      <c r="E87" s="88"/>
      <c r="F87" s="64"/>
      <c r="G87" s="64"/>
    </row>
    <row r="88" spans="3:7">
      <c r="C88" s="64"/>
      <c r="D88" s="82"/>
      <c r="E88" s="88"/>
      <c r="F88" s="64"/>
      <c r="G88" s="64"/>
    </row>
    <row r="89" spans="3:7">
      <c r="C89" s="64"/>
      <c r="D89" s="82"/>
      <c r="E89" s="88"/>
      <c r="F89" s="64"/>
      <c r="G89" s="64"/>
    </row>
    <row r="90" spans="3:7">
      <c r="C90" s="64"/>
      <c r="D90" s="82"/>
      <c r="E90" s="88"/>
      <c r="F90" s="64"/>
      <c r="G90" s="64"/>
    </row>
    <row r="91" spans="3:7">
      <c r="C91" s="64"/>
      <c r="D91" s="82"/>
      <c r="E91" s="88"/>
      <c r="F91" s="64"/>
      <c r="G91" s="64"/>
    </row>
    <row r="92" spans="3:7">
      <c r="C92" s="64"/>
      <c r="D92" s="82"/>
      <c r="E92" s="88"/>
      <c r="F92" s="64"/>
      <c r="G92" s="64"/>
    </row>
    <row r="93" spans="3:7">
      <c r="C93" s="64"/>
      <c r="D93" s="82"/>
      <c r="E93" s="88"/>
      <c r="F93" s="64"/>
      <c r="G93" s="64"/>
    </row>
    <row r="94" spans="3:7">
      <c r="C94" s="64"/>
      <c r="D94" s="82"/>
      <c r="E94" s="88"/>
      <c r="F94" s="64"/>
      <c r="G94" s="64"/>
    </row>
    <row r="95" spans="3:7">
      <c r="C95" s="64"/>
      <c r="D95" s="82"/>
      <c r="E95" s="88"/>
      <c r="F95" s="64"/>
      <c r="G95" s="64"/>
    </row>
    <row r="96" spans="3:7">
      <c r="C96" s="64"/>
      <c r="D96" s="82"/>
      <c r="E96" s="88"/>
      <c r="F96" s="64"/>
      <c r="G96" s="64"/>
    </row>
    <row r="97" spans="3:7">
      <c r="C97" s="64"/>
      <c r="D97" s="82"/>
      <c r="E97" s="88"/>
      <c r="F97" s="64"/>
      <c r="G97" s="64"/>
    </row>
    <row r="98" spans="3:7">
      <c r="C98" s="64"/>
      <c r="D98" s="82"/>
      <c r="E98" s="88"/>
      <c r="F98" s="64"/>
      <c r="G98" s="64"/>
    </row>
    <row r="99" spans="3:7">
      <c r="C99" s="64"/>
      <c r="D99" s="82"/>
      <c r="E99" s="88"/>
      <c r="F99" s="64"/>
      <c r="G99" s="64"/>
    </row>
    <row r="100" spans="3:7">
      <c r="C100" s="64"/>
      <c r="D100" s="82"/>
      <c r="E100" s="88"/>
      <c r="F100" s="64"/>
      <c r="G100" s="64"/>
    </row>
    <row r="101" spans="3:7">
      <c r="C101" s="64"/>
      <c r="D101" s="82"/>
      <c r="E101" s="88"/>
      <c r="F101" s="64"/>
      <c r="G101" s="64"/>
    </row>
    <row r="102" spans="3:7">
      <c r="C102" s="64"/>
      <c r="D102" s="82"/>
      <c r="E102" s="88"/>
      <c r="F102" s="64"/>
      <c r="G102" s="64"/>
    </row>
    <row r="103" spans="3:7">
      <c r="C103" s="64"/>
      <c r="D103" s="82"/>
      <c r="E103" s="88"/>
      <c r="F103" s="64"/>
      <c r="G103" s="64"/>
    </row>
    <row r="104" spans="3:7">
      <c r="C104" s="64"/>
      <c r="D104" s="82"/>
      <c r="E104" s="88"/>
      <c r="F104" s="64"/>
      <c r="G104" s="64"/>
    </row>
    <row r="105" spans="3:7">
      <c r="C105" s="64"/>
      <c r="D105" s="82"/>
      <c r="E105" s="88"/>
      <c r="F105" s="64"/>
      <c r="G105" s="64"/>
    </row>
    <row r="106" spans="3:7">
      <c r="C106" s="64"/>
      <c r="D106" s="82"/>
      <c r="E106" s="88"/>
      <c r="F106" s="64"/>
      <c r="G106" s="64"/>
    </row>
    <row r="107" spans="3:7">
      <c r="C107" s="64"/>
      <c r="D107" s="82"/>
      <c r="E107" s="88"/>
      <c r="F107" s="64"/>
      <c r="G107" s="64"/>
    </row>
    <row r="108" spans="3:7">
      <c r="C108" s="64"/>
      <c r="D108" s="82"/>
      <c r="E108" s="88"/>
      <c r="F108" s="64"/>
      <c r="G108" s="64"/>
    </row>
    <row r="109" spans="3:7">
      <c r="C109" s="64"/>
      <c r="D109" s="82"/>
      <c r="E109" s="88"/>
      <c r="F109" s="64"/>
      <c r="G109" s="64"/>
    </row>
    <row r="110" spans="3:7">
      <c r="C110" s="64"/>
      <c r="D110" s="82"/>
      <c r="E110" s="88"/>
      <c r="F110" s="64"/>
      <c r="G110" s="64"/>
    </row>
    <row r="111" spans="3:7">
      <c r="C111" s="64"/>
      <c r="D111" s="82"/>
      <c r="E111" s="88"/>
      <c r="F111" s="64"/>
      <c r="G111" s="64"/>
    </row>
    <row r="112" spans="3:7">
      <c r="C112" s="64"/>
      <c r="D112" s="82"/>
      <c r="E112" s="88"/>
      <c r="F112" s="64"/>
      <c r="G112" s="64"/>
    </row>
    <row r="113" spans="3:7">
      <c r="C113" s="64"/>
      <c r="D113" s="82"/>
      <c r="E113" s="88"/>
      <c r="F113" s="64"/>
      <c r="G113" s="64"/>
    </row>
    <row r="114" spans="3:7">
      <c r="C114" s="64"/>
      <c r="D114" s="82"/>
      <c r="E114" s="88"/>
      <c r="F114" s="64"/>
      <c r="G114" s="64"/>
    </row>
    <row r="115" spans="3:7">
      <c r="C115" s="64"/>
      <c r="D115" s="82"/>
      <c r="E115" s="88"/>
      <c r="F115" s="64"/>
      <c r="G115" s="64"/>
    </row>
    <row r="116" spans="3:7">
      <c r="C116" s="64"/>
      <c r="D116" s="82"/>
      <c r="E116" s="88"/>
      <c r="F116" s="64"/>
      <c r="G116" s="64"/>
    </row>
    <row r="117" spans="3:7">
      <c r="C117" s="64"/>
      <c r="D117" s="82"/>
      <c r="E117" s="88"/>
      <c r="F117" s="64"/>
      <c r="G117" s="64"/>
    </row>
    <row r="118" spans="3:7">
      <c r="C118" s="64"/>
      <c r="D118" s="82"/>
      <c r="E118" s="88"/>
      <c r="F118" s="64"/>
      <c r="G118" s="64"/>
    </row>
    <row r="119" spans="3:7">
      <c r="C119" s="64"/>
      <c r="D119" s="82"/>
      <c r="E119" s="88"/>
      <c r="F119" s="64"/>
      <c r="G119" s="64"/>
    </row>
    <row r="120" spans="3:7">
      <c r="C120" s="64"/>
      <c r="D120" s="82"/>
      <c r="E120" s="88"/>
      <c r="F120" s="64"/>
      <c r="G120" s="64"/>
    </row>
    <row r="121" spans="3:7">
      <c r="C121" s="64"/>
      <c r="D121" s="82"/>
      <c r="E121" s="88"/>
      <c r="F121" s="64"/>
      <c r="G121" s="64"/>
    </row>
    <row r="122" spans="3:7">
      <c r="C122" s="64"/>
      <c r="D122" s="82"/>
      <c r="E122" s="88"/>
      <c r="F122" s="64"/>
      <c r="G122" s="64"/>
    </row>
    <row r="123" spans="3:7">
      <c r="C123" s="64"/>
      <c r="D123" s="82"/>
      <c r="E123" s="88"/>
      <c r="F123" s="64"/>
      <c r="G123" s="64"/>
    </row>
    <row r="124" spans="3:7">
      <c r="C124" s="64"/>
      <c r="D124" s="82"/>
      <c r="E124" s="88"/>
      <c r="F124" s="64"/>
      <c r="G124" s="64"/>
    </row>
    <row r="125" spans="3:7">
      <c r="C125" s="64"/>
      <c r="D125" s="82"/>
      <c r="E125" s="88"/>
      <c r="F125" s="64"/>
      <c r="G125" s="64"/>
    </row>
    <row r="126" spans="3:7">
      <c r="C126" s="64"/>
      <c r="D126" s="82"/>
      <c r="E126" s="88"/>
      <c r="F126" s="64"/>
      <c r="G126" s="64"/>
    </row>
    <row r="127" spans="3:7">
      <c r="C127" s="64"/>
      <c r="D127" s="82"/>
      <c r="E127" s="88"/>
      <c r="F127" s="64"/>
      <c r="G127" s="64"/>
    </row>
    <row r="128" spans="3:7">
      <c r="C128" s="64"/>
      <c r="D128" s="82"/>
      <c r="E128" s="88"/>
      <c r="F128" s="64"/>
      <c r="G128" s="64"/>
    </row>
    <row r="129" spans="3:7">
      <c r="C129" s="64"/>
      <c r="D129" s="82"/>
      <c r="E129" s="88"/>
      <c r="F129" s="64"/>
      <c r="G129" s="64"/>
    </row>
    <row r="130" spans="3:7">
      <c r="C130" s="64"/>
      <c r="D130" s="82"/>
      <c r="E130" s="88"/>
      <c r="F130" s="64"/>
      <c r="G130" s="64"/>
    </row>
    <row r="131" spans="3:7">
      <c r="C131" s="64"/>
      <c r="D131" s="82"/>
      <c r="E131" s="88"/>
      <c r="F131" s="64"/>
      <c r="G131" s="64"/>
    </row>
    <row r="132" spans="3:7">
      <c r="C132" s="64"/>
      <c r="D132" s="82"/>
      <c r="E132" s="88"/>
      <c r="F132" s="64"/>
      <c r="G132" s="64"/>
    </row>
    <row r="133" spans="3:7">
      <c r="C133" s="64"/>
      <c r="D133" s="82"/>
      <c r="E133" s="88"/>
      <c r="F133" s="64"/>
      <c r="G133" s="64"/>
    </row>
    <row r="134" spans="3:7">
      <c r="C134" s="64"/>
      <c r="D134" s="82"/>
      <c r="E134" s="88"/>
      <c r="F134" s="64"/>
      <c r="G134" s="64"/>
    </row>
    <row r="135" spans="3:7">
      <c r="C135" s="64"/>
      <c r="D135" s="82"/>
      <c r="E135" s="88"/>
      <c r="F135" s="64"/>
      <c r="G135" s="64"/>
    </row>
    <row r="136" spans="3:7">
      <c r="C136" s="64"/>
      <c r="D136" s="82"/>
      <c r="E136" s="88"/>
      <c r="F136" s="64"/>
      <c r="G136" s="64"/>
    </row>
    <row r="137" spans="3:7">
      <c r="C137" s="64"/>
      <c r="D137" s="82"/>
      <c r="E137" s="88"/>
      <c r="F137" s="64"/>
      <c r="G137" s="64"/>
    </row>
    <row r="138" spans="3:7">
      <c r="C138" s="64"/>
      <c r="D138" s="82"/>
      <c r="E138" s="88"/>
      <c r="F138" s="64"/>
      <c r="G138" s="64"/>
    </row>
    <row r="139" spans="3:7">
      <c r="C139" s="64"/>
      <c r="D139" s="82"/>
      <c r="E139" s="88"/>
      <c r="F139" s="64"/>
      <c r="G139" s="64"/>
    </row>
    <row r="140" spans="3:7">
      <c r="C140" s="64"/>
      <c r="D140" s="82"/>
      <c r="E140" s="88"/>
      <c r="F140" s="64"/>
      <c r="G140" s="64"/>
    </row>
    <row r="141" spans="3:7">
      <c r="C141" s="64"/>
      <c r="D141" s="82"/>
      <c r="E141" s="88"/>
      <c r="F141" s="64"/>
      <c r="G141" s="64"/>
    </row>
    <row r="142" spans="3:7">
      <c r="C142" s="64"/>
      <c r="D142" s="82"/>
      <c r="E142" s="88"/>
      <c r="F142" s="64"/>
      <c r="G142" s="64"/>
    </row>
    <row r="143" spans="3:7">
      <c r="C143" s="64"/>
      <c r="D143" s="82"/>
      <c r="E143" s="88"/>
      <c r="F143" s="64"/>
      <c r="G143" s="64"/>
    </row>
    <row r="144" spans="3:7">
      <c r="C144" s="64"/>
      <c r="D144" s="82"/>
      <c r="E144" s="88"/>
      <c r="F144" s="64"/>
      <c r="G144" s="64"/>
    </row>
    <row r="145" spans="3:7">
      <c r="C145" s="64"/>
      <c r="D145" s="82"/>
      <c r="E145" s="88"/>
      <c r="F145" s="64"/>
      <c r="G145" s="64"/>
    </row>
    <row r="146" spans="3:7">
      <c r="C146" s="64"/>
      <c r="D146" s="82"/>
      <c r="E146" s="88"/>
      <c r="F146" s="64"/>
      <c r="G146" s="64"/>
    </row>
    <row r="147" spans="3:7">
      <c r="C147" s="64"/>
      <c r="D147" s="82"/>
      <c r="E147" s="88"/>
      <c r="F147" s="64"/>
      <c r="G147" s="64"/>
    </row>
    <row r="148" spans="3:7">
      <c r="C148" s="64"/>
      <c r="D148" s="82"/>
      <c r="E148" s="88"/>
      <c r="F148" s="64"/>
      <c r="G148" s="64"/>
    </row>
    <row r="149" spans="3:7">
      <c r="C149" s="64"/>
      <c r="D149" s="82"/>
      <c r="E149" s="88"/>
      <c r="F149" s="64"/>
      <c r="G149" s="64"/>
    </row>
    <row r="150" spans="3:7">
      <c r="C150" s="64"/>
      <c r="D150" s="82"/>
      <c r="E150" s="88"/>
      <c r="F150" s="64"/>
      <c r="G150" s="64"/>
    </row>
    <row r="151" spans="3:7">
      <c r="C151" s="64"/>
      <c r="D151" s="82"/>
      <c r="E151" s="88"/>
      <c r="F151" s="64"/>
      <c r="G151" s="64"/>
    </row>
    <row r="152" spans="3:7">
      <c r="C152" s="64"/>
      <c r="D152" s="82"/>
      <c r="E152" s="88"/>
      <c r="F152" s="64"/>
      <c r="G152" s="64"/>
    </row>
    <row r="153" spans="3:7">
      <c r="C153" s="64"/>
      <c r="D153" s="82"/>
      <c r="E153" s="88"/>
      <c r="F153" s="64"/>
      <c r="G153" s="64"/>
    </row>
    <row r="154" spans="3:7">
      <c r="C154" s="64"/>
      <c r="D154" s="82"/>
      <c r="E154" s="88"/>
      <c r="F154" s="64"/>
      <c r="G154" s="64"/>
    </row>
    <row r="155" spans="3:7">
      <c r="C155" s="64"/>
      <c r="D155" s="82"/>
      <c r="E155" s="88"/>
      <c r="F155" s="64"/>
      <c r="G155" s="64"/>
    </row>
    <row r="156" spans="3:7">
      <c r="C156" s="64"/>
      <c r="D156" s="82"/>
      <c r="E156" s="88"/>
      <c r="F156" s="64"/>
      <c r="G156" s="64"/>
    </row>
    <row r="157" spans="3:7">
      <c r="C157" s="64"/>
      <c r="D157" s="82"/>
      <c r="E157" s="88"/>
      <c r="F157" s="64"/>
      <c r="G157" s="64"/>
    </row>
    <row r="158" spans="3:7">
      <c r="C158" s="64"/>
      <c r="D158" s="82"/>
      <c r="E158" s="88"/>
      <c r="F158" s="64"/>
      <c r="G158" s="64"/>
    </row>
    <row r="159" spans="3:7">
      <c r="C159" s="64"/>
      <c r="D159" s="82"/>
      <c r="E159" s="88"/>
      <c r="F159" s="64"/>
      <c r="G159" s="64"/>
    </row>
    <row r="160" spans="3:7">
      <c r="C160" s="64"/>
      <c r="D160" s="82"/>
      <c r="E160" s="88"/>
      <c r="F160" s="64"/>
      <c r="G160" s="64"/>
    </row>
    <row r="161" spans="3:7">
      <c r="C161" s="64"/>
      <c r="D161" s="82"/>
      <c r="E161" s="88"/>
      <c r="F161" s="64"/>
      <c r="G161" s="64"/>
    </row>
    <row r="162" spans="3:7">
      <c r="C162" s="64"/>
      <c r="D162" s="82"/>
      <c r="E162" s="88"/>
      <c r="F162" s="64"/>
      <c r="G162" s="64"/>
    </row>
    <row r="163" spans="3:7">
      <c r="C163" s="64"/>
      <c r="D163" s="82"/>
      <c r="E163" s="88"/>
      <c r="F163" s="64"/>
      <c r="G163" s="64"/>
    </row>
    <row r="164" spans="3:7">
      <c r="C164" s="64"/>
      <c r="D164" s="82"/>
      <c r="E164" s="88"/>
      <c r="F164" s="64"/>
      <c r="G164" s="64"/>
    </row>
    <row r="165" spans="3:7">
      <c r="C165" s="64"/>
      <c r="D165" s="82"/>
      <c r="E165" s="88"/>
      <c r="F165" s="64"/>
      <c r="G165" s="64"/>
    </row>
    <row r="166" spans="3:7">
      <c r="C166" s="64"/>
      <c r="D166" s="82"/>
      <c r="E166" s="88"/>
      <c r="F166" s="64"/>
      <c r="G166" s="64"/>
    </row>
    <row r="167" spans="3:7">
      <c r="C167" s="64"/>
      <c r="D167" s="82"/>
      <c r="E167" s="88"/>
      <c r="F167" s="64"/>
      <c r="G167" s="64"/>
    </row>
    <row r="168" spans="3:7">
      <c r="C168" s="64"/>
      <c r="D168" s="82"/>
      <c r="E168" s="88"/>
      <c r="F168" s="64"/>
      <c r="G168" s="64"/>
    </row>
    <row r="169" spans="3:7">
      <c r="C169" s="64"/>
      <c r="D169" s="82"/>
      <c r="E169" s="88"/>
      <c r="F169" s="64"/>
      <c r="G169" s="64"/>
    </row>
    <row r="170" spans="3:7">
      <c r="C170" s="64"/>
      <c r="D170" s="82"/>
      <c r="E170" s="88"/>
      <c r="F170" s="64"/>
      <c r="G170" s="64"/>
    </row>
    <row r="171" spans="3:7">
      <c r="C171" s="64"/>
      <c r="D171" s="82"/>
      <c r="E171" s="88"/>
      <c r="F171" s="64"/>
      <c r="G171" s="64"/>
    </row>
    <row r="172" spans="3:7">
      <c r="C172" s="64"/>
      <c r="D172" s="82"/>
      <c r="E172" s="88"/>
      <c r="F172" s="64"/>
      <c r="G172" s="64"/>
    </row>
    <row r="173" spans="3:7">
      <c r="C173" s="64"/>
      <c r="D173" s="82"/>
      <c r="E173" s="88"/>
      <c r="F173" s="64"/>
      <c r="G173" s="64"/>
    </row>
    <row r="174" spans="3:7">
      <c r="C174" s="64"/>
      <c r="D174" s="82"/>
      <c r="E174" s="88"/>
      <c r="F174" s="64"/>
      <c r="G174" s="64"/>
    </row>
    <row r="175" spans="3:7">
      <c r="C175" s="64"/>
      <c r="D175" s="82"/>
      <c r="E175" s="88"/>
      <c r="F175" s="64"/>
      <c r="G175" s="64"/>
    </row>
    <row r="176" spans="3:7">
      <c r="C176" s="64"/>
      <c r="D176" s="82"/>
      <c r="E176" s="88"/>
      <c r="F176" s="64"/>
      <c r="G176" s="64"/>
    </row>
    <row r="177" spans="3:7">
      <c r="C177" s="64"/>
      <c r="D177" s="82"/>
      <c r="E177" s="88"/>
      <c r="F177" s="64"/>
      <c r="G177" s="64"/>
    </row>
    <row r="178" spans="3:7">
      <c r="C178" s="64"/>
      <c r="D178" s="82"/>
      <c r="E178" s="88"/>
      <c r="F178" s="64"/>
      <c r="G178" s="64"/>
    </row>
    <row r="179" spans="3:7">
      <c r="C179" s="64"/>
      <c r="D179" s="82"/>
      <c r="E179" s="88"/>
      <c r="F179" s="64"/>
      <c r="G179" s="64"/>
    </row>
    <row r="180" spans="3:7">
      <c r="C180" s="64"/>
      <c r="D180" s="82"/>
      <c r="E180" s="88"/>
      <c r="F180" s="64"/>
      <c r="G180" s="64"/>
    </row>
    <row r="181" spans="3:7">
      <c r="C181" s="64"/>
      <c r="D181" s="82"/>
      <c r="E181" s="88"/>
      <c r="F181" s="64"/>
      <c r="G181" s="64"/>
    </row>
    <row r="182" spans="3:7">
      <c r="C182" s="64"/>
      <c r="D182" s="82"/>
      <c r="E182" s="88"/>
      <c r="F182" s="64"/>
      <c r="G182" s="64"/>
    </row>
    <row r="183" spans="3:7">
      <c r="C183" s="64"/>
      <c r="D183" s="82"/>
      <c r="E183" s="88"/>
      <c r="F183" s="64"/>
      <c r="G183" s="64"/>
    </row>
    <row r="184" spans="3:7">
      <c r="C184" s="64"/>
      <c r="D184" s="82"/>
      <c r="E184" s="88"/>
      <c r="F184" s="64"/>
      <c r="G184" s="64"/>
    </row>
    <row r="185" spans="3:7">
      <c r="C185" s="64"/>
      <c r="D185" s="82"/>
      <c r="E185" s="88"/>
      <c r="F185" s="64"/>
      <c r="G185" s="64"/>
    </row>
    <row r="186" spans="3:7">
      <c r="C186" s="64"/>
      <c r="D186" s="82"/>
      <c r="E186" s="88"/>
      <c r="F186" s="64"/>
      <c r="G186" s="64"/>
    </row>
    <row r="187" spans="3:7">
      <c r="C187" s="64"/>
      <c r="D187" s="82"/>
      <c r="E187" s="88"/>
      <c r="F187" s="64"/>
      <c r="G187" s="64"/>
    </row>
    <row r="188" spans="3:7">
      <c r="C188" s="64"/>
      <c r="D188" s="82"/>
      <c r="E188" s="88"/>
      <c r="F188" s="64"/>
      <c r="G188" s="64"/>
    </row>
    <row r="189" spans="3:7">
      <c r="C189" s="64"/>
      <c r="D189" s="82"/>
      <c r="E189" s="88"/>
      <c r="F189" s="64"/>
      <c r="G189" s="64"/>
    </row>
    <row r="190" spans="3:7">
      <c r="C190" s="64"/>
      <c r="D190" s="82"/>
      <c r="E190" s="88"/>
      <c r="F190" s="64"/>
      <c r="G190" s="64"/>
    </row>
    <row r="191" spans="3:7">
      <c r="C191" s="64"/>
      <c r="D191" s="82"/>
      <c r="E191" s="88"/>
      <c r="F191" s="64"/>
      <c r="G191" s="64"/>
    </row>
    <row r="192" spans="3:7">
      <c r="C192" s="64"/>
      <c r="D192" s="82"/>
      <c r="E192" s="88"/>
      <c r="F192" s="64"/>
      <c r="G192" s="64"/>
    </row>
    <row r="193" spans="3:7">
      <c r="C193" s="64"/>
      <c r="D193" s="82"/>
      <c r="E193" s="88"/>
      <c r="F193" s="64"/>
      <c r="G193" s="64"/>
    </row>
    <row r="194" spans="3:7">
      <c r="C194" s="64"/>
      <c r="D194" s="82"/>
      <c r="E194" s="88"/>
      <c r="F194" s="64"/>
      <c r="G194" s="64"/>
    </row>
    <row r="195" spans="3:7">
      <c r="C195" s="64"/>
      <c r="D195" s="82"/>
      <c r="E195" s="88"/>
      <c r="F195" s="64"/>
      <c r="G195" s="64"/>
    </row>
    <row r="196" spans="3:7">
      <c r="C196" s="64"/>
      <c r="D196" s="82"/>
      <c r="E196" s="88"/>
      <c r="F196" s="64"/>
      <c r="G196" s="64"/>
    </row>
    <row r="197" spans="3:7">
      <c r="C197" s="64"/>
      <c r="D197" s="82"/>
      <c r="E197" s="88"/>
      <c r="F197" s="64"/>
      <c r="G197" s="64"/>
    </row>
    <row r="198" spans="3:7">
      <c r="C198" s="64"/>
      <c r="D198" s="82"/>
      <c r="E198" s="88"/>
      <c r="F198" s="64"/>
      <c r="G198" s="64"/>
    </row>
    <row r="199" spans="3:7">
      <c r="C199" s="64"/>
      <c r="D199" s="82"/>
      <c r="E199" s="88"/>
      <c r="F199" s="64"/>
      <c r="G199" s="64"/>
    </row>
    <row r="200" spans="3:7">
      <c r="C200" s="64"/>
      <c r="D200" s="82"/>
      <c r="E200" s="88"/>
      <c r="F200" s="64"/>
      <c r="G200" s="64"/>
    </row>
    <row r="201" spans="3:7">
      <c r="C201" s="64"/>
      <c r="D201" s="82"/>
      <c r="E201" s="88"/>
      <c r="F201" s="64"/>
      <c r="G201" s="64"/>
    </row>
    <row r="202" spans="3:7">
      <c r="C202" s="64"/>
      <c r="D202" s="82"/>
      <c r="E202" s="88"/>
      <c r="F202" s="64"/>
      <c r="G202" s="64"/>
    </row>
    <row r="203" spans="3:7">
      <c r="C203" s="64"/>
      <c r="D203" s="82"/>
      <c r="E203" s="88"/>
      <c r="F203" s="64"/>
      <c r="G203" s="64"/>
    </row>
    <row r="204" spans="3:7">
      <c r="C204" s="64"/>
      <c r="D204" s="82"/>
      <c r="E204" s="88"/>
      <c r="F204" s="64"/>
      <c r="G204" s="64"/>
    </row>
    <row r="205" spans="3:7">
      <c r="C205" s="64"/>
      <c r="D205" s="82"/>
      <c r="E205" s="88"/>
      <c r="F205" s="64"/>
      <c r="G205" s="64"/>
    </row>
    <row r="206" spans="3:7">
      <c r="C206" s="64"/>
      <c r="D206" s="82"/>
      <c r="E206" s="88"/>
      <c r="F206" s="64"/>
      <c r="G206" s="64"/>
    </row>
    <row r="207" spans="3:7">
      <c r="C207" s="64"/>
      <c r="D207" s="82"/>
      <c r="E207" s="88"/>
      <c r="F207" s="64"/>
      <c r="G207" s="64"/>
    </row>
    <row r="208" spans="3:7">
      <c r="C208" s="64"/>
      <c r="D208" s="82"/>
      <c r="E208" s="88"/>
      <c r="F208" s="64"/>
      <c r="G208" s="64"/>
    </row>
    <row r="209" spans="3:7">
      <c r="C209" s="64"/>
      <c r="D209" s="82"/>
      <c r="E209" s="88"/>
      <c r="F209" s="64"/>
      <c r="G209" s="64"/>
    </row>
    <row r="210" spans="3:7">
      <c r="C210" s="64"/>
      <c r="D210" s="82"/>
      <c r="E210" s="88"/>
      <c r="F210" s="64"/>
      <c r="G210" s="64"/>
    </row>
    <row r="211" spans="3:7">
      <c r="C211" s="64"/>
      <c r="D211" s="82"/>
      <c r="E211" s="88"/>
      <c r="F211" s="64"/>
      <c r="G211" s="64"/>
    </row>
    <row r="212" spans="3:7">
      <c r="C212" s="64"/>
      <c r="D212" s="82"/>
      <c r="E212" s="88"/>
      <c r="F212" s="64"/>
      <c r="G212" s="64"/>
    </row>
    <row r="213" spans="3:7">
      <c r="C213" s="64"/>
      <c r="D213" s="82"/>
      <c r="E213" s="88"/>
      <c r="F213" s="64"/>
      <c r="G213" s="64"/>
    </row>
    <row r="214" spans="3:7">
      <c r="C214" s="64"/>
      <c r="D214" s="82"/>
      <c r="E214" s="88"/>
      <c r="F214" s="64"/>
      <c r="G214" s="64"/>
    </row>
    <row r="215" spans="3:7">
      <c r="C215" s="64"/>
      <c r="D215" s="82"/>
      <c r="E215" s="88"/>
      <c r="F215" s="64"/>
      <c r="G215" s="64"/>
    </row>
    <row r="216" spans="3:7">
      <c r="C216" s="64"/>
      <c r="D216" s="82"/>
      <c r="E216" s="88"/>
      <c r="F216" s="64"/>
      <c r="G216" s="64"/>
    </row>
    <row r="217" spans="3:7">
      <c r="C217" s="64"/>
      <c r="D217" s="82"/>
      <c r="E217" s="88"/>
      <c r="F217" s="64"/>
      <c r="G217" s="64"/>
    </row>
    <row r="218" spans="3:7">
      <c r="C218" s="64"/>
      <c r="D218" s="82"/>
      <c r="E218" s="88"/>
      <c r="F218" s="64"/>
      <c r="G218" s="64"/>
    </row>
    <row r="219" spans="3:7">
      <c r="C219" s="64"/>
      <c r="D219" s="82"/>
      <c r="E219" s="88"/>
      <c r="F219" s="64"/>
      <c r="G219" s="64"/>
    </row>
    <row r="220" spans="3:7">
      <c r="C220" s="64"/>
      <c r="D220" s="82"/>
      <c r="E220" s="88"/>
      <c r="F220" s="64"/>
      <c r="G220" s="64"/>
    </row>
    <row r="221" spans="3:7">
      <c r="C221" s="64"/>
      <c r="D221" s="82"/>
      <c r="E221" s="88"/>
      <c r="F221" s="64"/>
      <c r="G221" s="64"/>
    </row>
    <row r="222" spans="3:7">
      <c r="C222" s="64"/>
      <c r="D222" s="82"/>
      <c r="E222" s="88"/>
      <c r="F222" s="64"/>
      <c r="G222" s="64"/>
    </row>
    <row r="223" spans="3:7">
      <c r="C223" s="64"/>
      <c r="D223" s="82"/>
      <c r="E223" s="88"/>
      <c r="F223" s="64"/>
      <c r="G223" s="64"/>
    </row>
    <row r="224" spans="3:7">
      <c r="C224" s="64"/>
      <c r="D224" s="82"/>
      <c r="E224" s="88"/>
      <c r="F224" s="64"/>
      <c r="G224" s="64"/>
    </row>
    <row r="225" spans="3:7">
      <c r="C225" s="64"/>
      <c r="D225" s="82"/>
      <c r="E225" s="88"/>
      <c r="F225" s="64"/>
      <c r="G225" s="64"/>
    </row>
    <row r="226" spans="3:7">
      <c r="C226" s="64"/>
      <c r="D226" s="82"/>
      <c r="E226" s="88"/>
      <c r="F226" s="64"/>
      <c r="G226" s="64"/>
    </row>
    <row r="227" spans="3:7">
      <c r="C227" s="64"/>
      <c r="D227" s="82"/>
      <c r="E227" s="88"/>
      <c r="F227" s="64"/>
      <c r="G227" s="64"/>
    </row>
    <row r="228" spans="3:7">
      <c r="C228" s="64"/>
      <c r="D228" s="82"/>
      <c r="E228" s="88"/>
      <c r="F228" s="64"/>
      <c r="G228" s="64"/>
    </row>
    <row r="229" spans="3:7">
      <c r="C229" s="64"/>
      <c r="D229" s="82"/>
      <c r="E229" s="88"/>
      <c r="F229" s="64"/>
      <c r="G229" s="64"/>
    </row>
    <row r="230" spans="3:7">
      <c r="C230" s="64"/>
      <c r="D230" s="82"/>
      <c r="E230" s="88"/>
      <c r="F230" s="64"/>
      <c r="G230" s="64"/>
    </row>
    <row r="231" spans="3:7">
      <c r="C231" s="64"/>
      <c r="D231" s="82"/>
      <c r="E231" s="88"/>
      <c r="F231" s="64"/>
      <c r="G231" s="64"/>
    </row>
    <row r="232" spans="3:7">
      <c r="C232" s="64"/>
      <c r="D232" s="82"/>
      <c r="E232" s="88"/>
      <c r="F232" s="64"/>
      <c r="G232" s="64"/>
    </row>
    <row r="233" spans="3:7">
      <c r="C233" s="64"/>
      <c r="D233" s="82"/>
      <c r="E233" s="88"/>
      <c r="F233" s="64"/>
      <c r="G233" s="64"/>
    </row>
    <row r="234" spans="3:7">
      <c r="C234" s="64"/>
      <c r="D234" s="82"/>
      <c r="E234" s="88"/>
      <c r="F234" s="64"/>
      <c r="G234" s="64"/>
    </row>
    <row r="235" spans="3:7">
      <c r="C235" s="64"/>
      <c r="D235" s="82"/>
      <c r="E235" s="88"/>
      <c r="F235" s="64"/>
      <c r="G235" s="64"/>
    </row>
    <row r="236" spans="3:7">
      <c r="C236" s="64"/>
      <c r="D236" s="82"/>
      <c r="E236" s="88"/>
      <c r="F236" s="64"/>
      <c r="G236" s="64"/>
    </row>
    <row r="237" spans="3:7">
      <c r="C237" s="64"/>
      <c r="D237" s="82"/>
      <c r="E237" s="88"/>
      <c r="F237" s="64"/>
      <c r="G237" s="64"/>
    </row>
    <row r="238" spans="3:7">
      <c r="C238" s="64"/>
      <c r="D238" s="82"/>
      <c r="E238" s="88"/>
      <c r="F238" s="64"/>
      <c r="G238" s="64"/>
    </row>
    <row r="239" spans="3:7">
      <c r="C239" s="64"/>
      <c r="D239" s="82"/>
      <c r="E239" s="88"/>
      <c r="F239" s="64"/>
      <c r="G239" s="64"/>
    </row>
    <row r="240" spans="3:7">
      <c r="C240" s="64"/>
      <c r="D240" s="82"/>
      <c r="E240" s="88"/>
      <c r="F240" s="64"/>
      <c r="G240" s="64"/>
    </row>
    <row r="241" spans="3:7">
      <c r="C241" s="64"/>
      <c r="D241" s="82"/>
      <c r="E241" s="88"/>
      <c r="F241" s="64"/>
      <c r="G241" s="64"/>
    </row>
    <row r="242" spans="3:7">
      <c r="C242" s="64"/>
      <c r="D242" s="82"/>
      <c r="E242" s="88"/>
      <c r="F242" s="64"/>
      <c r="G242" s="64"/>
    </row>
    <row r="243" spans="3:7">
      <c r="C243" s="64"/>
      <c r="D243" s="82"/>
      <c r="E243" s="88"/>
      <c r="F243" s="64"/>
      <c r="G243" s="64"/>
    </row>
    <row r="244" spans="3:7">
      <c r="C244" s="64"/>
      <c r="D244" s="82"/>
      <c r="E244" s="88"/>
      <c r="F244" s="64"/>
      <c r="G244" s="64"/>
    </row>
    <row r="245" spans="3:7">
      <c r="C245" s="64"/>
      <c r="D245" s="82"/>
      <c r="E245" s="88"/>
      <c r="F245" s="64"/>
      <c r="G245" s="64"/>
    </row>
    <row r="246" spans="3:7">
      <c r="C246" s="64"/>
      <c r="D246" s="82"/>
      <c r="E246" s="88"/>
      <c r="F246" s="64"/>
      <c r="G246" s="64"/>
    </row>
    <row r="247" spans="3:7">
      <c r="C247" s="64"/>
      <c r="D247" s="82"/>
      <c r="E247" s="88"/>
      <c r="F247" s="64"/>
      <c r="G247" s="64"/>
    </row>
    <row r="248" spans="3:7">
      <c r="C248" s="64"/>
      <c r="D248" s="82"/>
      <c r="E248" s="88"/>
      <c r="F248" s="64"/>
      <c r="G248" s="64"/>
    </row>
    <row r="249" spans="3:7">
      <c r="C249" s="64"/>
      <c r="D249" s="82"/>
      <c r="E249" s="88"/>
      <c r="F249" s="64"/>
      <c r="G249" s="64"/>
    </row>
    <row r="250" spans="3:7">
      <c r="C250" s="64"/>
      <c r="D250" s="82"/>
      <c r="E250" s="88"/>
      <c r="F250" s="64"/>
      <c r="G250" s="64"/>
    </row>
    <row r="251" spans="3:7">
      <c r="C251" s="64"/>
      <c r="D251" s="82"/>
      <c r="E251" s="88"/>
      <c r="F251" s="64"/>
      <c r="G251" s="64"/>
    </row>
    <row r="252" spans="3:7">
      <c r="C252" s="64"/>
      <c r="D252" s="82"/>
      <c r="E252" s="88"/>
      <c r="F252" s="64"/>
      <c r="G252" s="64"/>
    </row>
    <row r="253" spans="3:7">
      <c r="C253" s="64"/>
      <c r="D253" s="82"/>
      <c r="E253" s="88"/>
      <c r="F253" s="64"/>
      <c r="G253" s="64"/>
    </row>
    <row r="254" spans="3:7">
      <c r="C254" s="64"/>
      <c r="D254" s="82"/>
      <c r="E254" s="88"/>
      <c r="F254" s="64"/>
      <c r="G254" s="64"/>
    </row>
    <row r="255" spans="3:7">
      <c r="C255" s="64"/>
      <c r="D255" s="82"/>
      <c r="E255" s="88"/>
      <c r="F255" s="64"/>
      <c r="G255" s="64"/>
    </row>
    <row r="256" spans="3:7">
      <c r="C256" s="64"/>
      <c r="D256" s="82"/>
      <c r="E256" s="88"/>
      <c r="F256" s="64"/>
      <c r="G256" s="64"/>
    </row>
    <row r="257" spans="3:7">
      <c r="C257" s="64"/>
      <c r="D257" s="82"/>
      <c r="E257" s="88"/>
      <c r="F257" s="64"/>
      <c r="G257" s="64"/>
    </row>
    <row r="258" spans="3:7">
      <c r="C258" s="64"/>
      <c r="D258" s="82"/>
      <c r="E258" s="88"/>
      <c r="F258" s="64"/>
      <c r="G258" s="64"/>
    </row>
    <row r="259" spans="3:7">
      <c r="C259" s="64"/>
      <c r="D259" s="82"/>
      <c r="E259" s="88"/>
      <c r="F259" s="64"/>
      <c r="G259" s="64"/>
    </row>
    <row r="260" spans="3:7">
      <c r="C260" s="64"/>
      <c r="D260" s="82"/>
      <c r="E260" s="88"/>
      <c r="F260" s="64"/>
      <c r="G260" s="64"/>
    </row>
    <row r="261" spans="3:7">
      <c r="C261" s="64"/>
      <c r="D261" s="82"/>
      <c r="E261" s="88"/>
      <c r="F261" s="64"/>
      <c r="G261" s="64"/>
    </row>
    <row r="262" spans="3:7">
      <c r="C262" s="64"/>
      <c r="D262" s="82"/>
      <c r="E262" s="88"/>
      <c r="F262" s="64"/>
      <c r="G262" s="64"/>
    </row>
    <row r="263" spans="3:7">
      <c r="C263" s="64"/>
      <c r="D263" s="82"/>
      <c r="E263" s="88"/>
      <c r="F263" s="64"/>
      <c r="G263" s="64"/>
    </row>
    <row r="264" spans="3:7">
      <c r="C264" s="64"/>
      <c r="D264" s="82"/>
      <c r="E264" s="88"/>
      <c r="F264" s="64"/>
      <c r="G264" s="64"/>
    </row>
    <row r="265" spans="3:7">
      <c r="C265" s="64"/>
      <c r="D265" s="82"/>
      <c r="E265" s="88"/>
      <c r="F265" s="64"/>
      <c r="G265" s="64"/>
    </row>
    <row r="266" spans="3:7">
      <c r="C266" s="64"/>
      <c r="D266" s="82"/>
      <c r="E266" s="88"/>
      <c r="F266" s="64"/>
      <c r="G266" s="64"/>
    </row>
    <row r="267" spans="3:7">
      <c r="C267" s="64"/>
      <c r="D267" s="82"/>
      <c r="E267" s="88"/>
      <c r="F267" s="64"/>
      <c r="G267" s="64"/>
    </row>
    <row r="268" spans="3:7">
      <c r="C268" s="64"/>
      <c r="D268" s="82"/>
      <c r="E268" s="88"/>
      <c r="F268" s="64"/>
      <c r="G268" s="64"/>
    </row>
    <row r="269" spans="3:7">
      <c r="C269" s="64"/>
      <c r="D269" s="82"/>
      <c r="E269" s="88"/>
      <c r="F269" s="64"/>
      <c r="G269" s="64"/>
    </row>
    <row r="270" spans="3:7">
      <c r="C270" s="64"/>
      <c r="D270" s="82"/>
      <c r="E270" s="88"/>
      <c r="F270" s="64"/>
      <c r="G270" s="64"/>
    </row>
    <row r="271" spans="3:7">
      <c r="C271" s="64"/>
      <c r="D271" s="82"/>
      <c r="E271" s="88"/>
      <c r="F271" s="64"/>
      <c r="G271" s="64"/>
    </row>
    <row r="272" spans="3:7">
      <c r="C272" s="64"/>
      <c r="D272" s="82"/>
      <c r="E272" s="88"/>
      <c r="F272" s="64"/>
      <c r="G272" s="64"/>
    </row>
    <row r="273" spans="3:7">
      <c r="C273" s="64"/>
      <c r="D273" s="82"/>
      <c r="E273" s="88"/>
      <c r="F273" s="64"/>
      <c r="G273" s="64"/>
    </row>
    <row r="274" spans="3:7">
      <c r="C274" s="64"/>
      <c r="D274" s="82"/>
      <c r="E274" s="88"/>
      <c r="F274" s="64"/>
      <c r="G274" s="64"/>
    </row>
    <row r="275" spans="3:7">
      <c r="C275" s="64"/>
      <c r="D275" s="82"/>
      <c r="E275" s="88"/>
      <c r="F275" s="64"/>
      <c r="G275" s="64"/>
    </row>
    <row r="276" spans="3:7">
      <c r="C276" s="64"/>
      <c r="D276" s="82"/>
      <c r="E276" s="88"/>
      <c r="F276" s="64"/>
      <c r="G276" s="64"/>
    </row>
    <row r="277" spans="3:7">
      <c r="C277" s="64"/>
      <c r="D277" s="82"/>
      <c r="E277" s="88"/>
      <c r="F277" s="64"/>
      <c r="G277" s="64"/>
    </row>
    <row r="278" spans="3:7">
      <c r="C278" s="64"/>
      <c r="D278" s="82"/>
      <c r="E278" s="88"/>
      <c r="F278" s="64"/>
      <c r="G278" s="64"/>
    </row>
    <row r="279" spans="3:7">
      <c r="C279" s="64"/>
      <c r="D279" s="82"/>
      <c r="E279" s="88"/>
      <c r="F279" s="64"/>
      <c r="G279" s="64"/>
    </row>
    <row r="280" spans="3:7">
      <c r="C280" s="64"/>
      <c r="D280" s="82"/>
      <c r="E280" s="88"/>
      <c r="F280" s="64"/>
      <c r="G280" s="64"/>
    </row>
    <row r="281" spans="3:7">
      <c r="C281" s="64"/>
      <c r="D281" s="82"/>
      <c r="E281" s="88"/>
      <c r="F281" s="64"/>
      <c r="G281" s="64"/>
    </row>
    <row r="282" spans="3:7">
      <c r="C282" s="64"/>
      <c r="D282" s="82"/>
      <c r="E282" s="88"/>
      <c r="F282" s="64"/>
      <c r="G282" s="64"/>
    </row>
    <row r="283" spans="3:7">
      <c r="C283" s="64"/>
      <c r="D283" s="82"/>
      <c r="E283" s="88"/>
      <c r="F283" s="64"/>
      <c r="G283" s="64"/>
    </row>
    <row r="284" spans="3:7">
      <c r="C284" s="64"/>
      <c r="D284" s="82"/>
      <c r="E284" s="88"/>
      <c r="F284" s="64"/>
      <c r="G284" s="64"/>
    </row>
    <row r="285" spans="3:7">
      <c r="C285" s="64"/>
      <c r="D285" s="82"/>
      <c r="E285" s="88"/>
      <c r="F285" s="64"/>
      <c r="G285" s="64"/>
    </row>
    <row r="286" spans="3:7">
      <c r="C286" s="64"/>
      <c r="D286" s="82"/>
      <c r="E286" s="88"/>
      <c r="F286" s="64"/>
      <c r="G286" s="64"/>
    </row>
    <row r="287" spans="3:7">
      <c r="C287" s="64"/>
      <c r="D287" s="82"/>
      <c r="E287" s="88"/>
      <c r="F287" s="64"/>
      <c r="G287" s="64"/>
    </row>
    <row r="288" spans="3:7">
      <c r="C288" s="64"/>
      <c r="D288" s="82"/>
      <c r="E288" s="88"/>
      <c r="F288" s="64"/>
      <c r="G288" s="64"/>
    </row>
    <row r="289" spans="3:7">
      <c r="C289" s="64"/>
      <c r="D289" s="82"/>
      <c r="E289" s="88"/>
      <c r="F289" s="64"/>
      <c r="G289" s="64"/>
    </row>
    <row r="290" spans="3:7">
      <c r="C290" s="64"/>
      <c r="D290" s="82"/>
      <c r="E290" s="88"/>
      <c r="F290" s="64"/>
      <c r="G290" s="64"/>
    </row>
    <row r="291" spans="3:7">
      <c r="C291" s="64"/>
      <c r="D291" s="82"/>
      <c r="E291" s="88"/>
      <c r="F291" s="64"/>
      <c r="G291" s="64"/>
    </row>
    <row r="292" spans="3:7">
      <c r="C292" s="64"/>
      <c r="D292" s="82"/>
      <c r="E292" s="88"/>
      <c r="F292" s="64"/>
      <c r="G292" s="64"/>
    </row>
    <row r="293" spans="3:7">
      <c r="C293" s="64"/>
      <c r="D293" s="82"/>
      <c r="E293" s="88"/>
      <c r="F293" s="64"/>
      <c r="G293" s="64"/>
    </row>
    <row r="294" spans="3:7">
      <c r="C294" s="64"/>
      <c r="D294" s="82"/>
      <c r="E294" s="88"/>
      <c r="F294" s="64"/>
      <c r="G294" s="64"/>
    </row>
    <row r="295" spans="3:7">
      <c r="C295" s="64"/>
      <c r="D295" s="82"/>
      <c r="E295" s="88"/>
      <c r="F295" s="64"/>
      <c r="G295" s="64"/>
    </row>
    <row r="296" spans="3:7">
      <c r="C296" s="64"/>
      <c r="D296" s="82"/>
      <c r="E296" s="88"/>
      <c r="F296" s="64"/>
      <c r="G296" s="64"/>
    </row>
    <row r="297" spans="3:7">
      <c r="C297" s="64"/>
      <c r="D297" s="82"/>
      <c r="E297" s="88"/>
      <c r="F297" s="64"/>
      <c r="G297" s="64"/>
    </row>
    <row r="298" spans="3:7">
      <c r="C298" s="64"/>
      <c r="D298" s="82"/>
      <c r="E298" s="88"/>
      <c r="F298" s="64"/>
      <c r="G298" s="64"/>
    </row>
    <row r="299" spans="3:7">
      <c r="C299" s="64"/>
      <c r="D299" s="82"/>
      <c r="E299" s="88"/>
      <c r="F299" s="64"/>
      <c r="G299" s="64"/>
    </row>
    <row r="300" spans="3:7">
      <c r="C300" s="64"/>
      <c r="D300" s="82"/>
      <c r="E300" s="88"/>
      <c r="F300" s="64"/>
      <c r="G300" s="64"/>
    </row>
    <row r="301" spans="3:7">
      <c r="C301" s="64"/>
      <c r="D301" s="82"/>
      <c r="E301" s="88"/>
      <c r="F301" s="64"/>
      <c r="G301" s="64"/>
    </row>
    <row r="302" spans="3:7">
      <c r="C302" s="64"/>
      <c r="D302" s="82"/>
      <c r="E302" s="88"/>
      <c r="F302" s="64"/>
      <c r="G302" s="64"/>
    </row>
    <row r="303" spans="3:7">
      <c r="C303" s="64"/>
      <c r="D303" s="82"/>
      <c r="E303" s="88"/>
      <c r="F303" s="64"/>
      <c r="G303" s="64"/>
    </row>
    <row r="304" spans="3:7">
      <c r="C304" s="64"/>
      <c r="D304" s="82"/>
      <c r="E304" s="88"/>
      <c r="F304" s="64"/>
      <c r="G304" s="64"/>
    </row>
    <row r="305" spans="3:7">
      <c r="C305" s="64"/>
      <c r="D305" s="82"/>
      <c r="E305" s="88"/>
      <c r="F305" s="64"/>
      <c r="G305" s="64"/>
    </row>
    <row r="306" spans="3:7">
      <c r="C306" s="64"/>
      <c r="D306" s="82"/>
      <c r="E306" s="88"/>
      <c r="F306" s="64"/>
      <c r="G306" s="64"/>
    </row>
    <row r="307" spans="3:7">
      <c r="C307" s="64"/>
      <c r="D307" s="82"/>
      <c r="E307" s="88"/>
      <c r="F307" s="64"/>
      <c r="G307" s="64"/>
    </row>
    <row r="308" spans="3:7">
      <c r="C308" s="64"/>
      <c r="D308" s="82"/>
      <c r="E308" s="88"/>
      <c r="F308" s="64"/>
      <c r="G308" s="64"/>
    </row>
    <row r="309" spans="3:7">
      <c r="C309" s="64"/>
      <c r="D309" s="82"/>
      <c r="E309" s="88"/>
      <c r="F309" s="64"/>
      <c r="G309" s="64"/>
    </row>
    <row r="310" spans="3:7">
      <c r="C310" s="64"/>
      <c r="D310" s="82"/>
      <c r="E310" s="88"/>
      <c r="F310" s="64"/>
      <c r="G310" s="64"/>
    </row>
    <row r="311" spans="3:7">
      <c r="C311" s="64"/>
      <c r="D311" s="82"/>
      <c r="E311" s="88"/>
      <c r="F311" s="64"/>
      <c r="G311" s="64"/>
    </row>
    <row r="312" spans="3:7">
      <c r="C312" s="64"/>
      <c r="D312" s="82"/>
      <c r="E312" s="88"/>
      <c r="F312" s="64"/>
      <c r="G312" s="64"/>
    </row>
    <row r="313" spans="3:7">
      <c r="C313" s="64"/>
      <c r="D313" s="82"/>
      <c r="E313" s="88"/>
      <c r="F313" s="64"/>
      <c r="G313" s="64"/>
    </row>
    <row r="314" spans="3:7">
      <c r="C314" s="64"/>
      <c r="D314" s="82"/>
      <c r="E314" s="88"/>
      <c r="F314" s="64"/>
      <c r="G314" s="64"/>
    </row>
    <row r="315" spans="3:7">
      <c r="C315" s="64"/>
      <c r="D315" s="64"/>
      <c r="E315" s="88"/>
      <c r="F315" s="64"/>
      <c r="G315" s="64"/>
    </row>
    <row r="316" spans="3:7">
      <c r="C316" s="64"/>
      <c r="D316" s="64"/>
      <c r="E316" s="88"/>
      <c r="F316" s="64"/>
      <c r="G316" s="64"/>
    </row>
    <row r="317" spans="3:7">
      <c r="C317" s="64"/>
      <c r="D317" s="64"/>
      <c r="E317" s="88"/>
      <c r="F317" s="64"/>
      <c r="G317" s="64"/>
    </row>
    <row r="318" spans="3:7">
      <c r="C318" s="64"/>
      <c r="D318" s="64"/>
      <c r="E318" s="88"/>
      <c r="F318" s="64"/>
      <c r="G318" s="64"/>
    </row>
    <row r="319" spans="3:7">
      <c r="C319" s="64"/>
      <c r="D319" s="64"/>
      <c r="E319" s="88"/>
      <c r="F319" s="64"/>
      <c r="G319" s="64"/>
    </row>
    <row r="320" spans="3:7">
      <c r="C320" s="64"/>
      <c r="D320" s="64"/>
      <c r="E320" s="88"/>
      <c r="F320" s="64"/>
      <c r="G320" s="64"/>
    </row>
    <row r="321" spans="3:7">
      <c r="C321" s="64"/>
      <c r="D321" s="64"/>
      <c r="E321" s="88"/>
      <c r="F321" s="64"/>
      <c r="G321" s="64"/>
    </row>
    <row r="322" spans="3:7">
      <c r="C322" s="64"/>
      <c r="D322" s="64"/>
      <c r="E322" s="88"/>
      <c r="F322" s="64"/>
      <c r="G322" s="64"/>
    </row>
    <row r="323" spans="3:7">
      <c r="C323" s="64"/>
      <c r="D323" s="64"/>
      <c r="E323" s="88"/>
      <c r="F323" s="64"/>
      <c r="G323" s="64"/>
    </row>
    <row r="324" spans="3:7">
      <c r="C324" s="64"/>
      <c r="D324" s="64"/>
      <c r="E324" s="88"/>
      <c r="F324" s="64"/>
      <c r="G324" s="64"/>
    </row>
    <row r="325" spans="3:7">
      <c r="C325" s="64"/>
      <c r="D325" s="64"/>
      <c r="E325" s="88"/>
      <c r="F325" s="64"/>
      <c r="G325" s="64"/>
    </row>
    <row r="326" spans="3:7">
      <c r="C326" s="64"/>
      <c r="D326" s="64"/>
      <c r="E326" s="88"/>
      <c r="F326" s="64"/>
      <c r="G326" s="64"/>
    </row>
    <row r="327" spans="3:7">
      <c r="C327" s="64"/>
      <c r="D327" s="64"/>
      <c r="E327" s="88"/>
      <c r="F327" s="64"/>
      <c r="G327" s="64"/>
    </row>
    <row r="328" spans="3:7">
      <c r="C328" s="64"/>
      <c r="D328" s="64"/>
      <c r="E328" s="88"/>
      <c r="F328" s="64"/>
      <c r="G328" s="64"/>
    </row>
    <row r="329" spans="3:7">
      <c r="C329" s="64"/>
      <c r="D329" s="64"/>
      <c r="E329" s="88"/>
      <c r="F329" s="64"/>
      <c r="G329" s="64"/>
    </row>
    <row r="330" spans="3:7">
      <c r="C330" s="64"/>
      <c r="D330" s="64"/>
      <c r="E330" s="88"/>
      <c r="F330" s="64"/>
      <c r="G330" s="64"/>
    </row>
    <row r="331" spans="3:7">
      <c r="C331" s="64"/>
      <c r="D331" s="64"/>
      <c r="E331" s="88"/>
      <c r="F331" s="64"/>
      <c r="G331" s="64"/>
    </row>
    <row r="332" spans="3:7">
      <c r="C332" s="64"/>
      <c r="D332" s="64"/>
      <c r="E332" s="88"/>
      <c r="F332" s="64"/>
      <c r="G332" s="64"/>
    </row>
    <row r="333" spans="3:7">
      <c r="C333" s="64"/>
      <c r="D333" s="64"/>
      <c r="E333" s="88"/>
      <c r="F333" s="64"/>
      <c r="G333" s="64"/>
    </row>
    <row r="334" spans="3:7">
      <c r="C334" s="64"/>
      <c r="D334" s="64"/>
      <c r="E334" s="88"/>
      <c r="F334" s="64"/>
      <c r="G334" s="64"/>
    </row>
    <row r="335" spans="3:7">
      <c r="C335" s="64"/>
      <c r="D335" s="64"/>
      <c r="E335" s="88"/>
      <c r="F335" s="64"/>
      <c r="G335" s="64"/>
    </row>
    <row r="336" spans="3:7">
      <c r="C336" s="64"/>
      <c r="D336" s="64"/>
      <c r="E336" s="88"/>
      <c r="F336" s="64"/>
      <c r="G336" s="64"/>
    </row>
    <row r="337" spans="3:7">
      <c r="C337" s="64"/>
      <c r="D337" s="64"/>
      <c r="E337" s="88"/>
      <c r="F337" s="64"/>
      <c r="G337" s="64"/>
    </row>
    <row r="338" spans="3:7">
      <c r="C338" s="64"/>
      <c r="D338" s="64"/>
      <c r="E338" s="88"/>
      <c r="F338" s="64"/>
      <c r="G338" s="64"/>
    </row>
    <row r="339" spans="3:7">
      <c r="C339" s="64"/>
      <c r="D339" s="64"/>
      <c r="E339" s="88"/>
      <c r="F339" s="64"/>
      <c r="G339" s="64"/>
    </row>
    <row r="340" spans="3:7">
      <c r="C340" s="64"/>
      <c r="D340" s="64"/>
      <c r="E340" s="88"/>
      <c r="F340" s="64"/>
      <c r="G340" s="64"/>
    </row>
    <row r="341" spans="3:7">
      <c r="C341" s="64"/>
      <c r="D341" s="64"/>
      <c r="E341" s="88"/>
      <c r="F341" s="64"/>
      <c r="G341" s="64"/>
    </row>
    <row r="342" spans="3:7">
      <c r="C342" s="64"/>
      <c r="D342" s="64"/>
      <c r="E342" s="88"/>
      <c r="F342" s="64"/>
      <c r="G342" s="64"/>
    </row>
    <row r="343" spans="3:7">
      <c r="C343" s="64"/>
      <c r="D343" s="64"/>
      <c r="E343" s="88"/>
      <c r="F343" s="64"/>
      <c r="G343" s="64"/>
    </row>
    <row r="344" spans="3:7">
      <c r="C344" s="64"/>
      <c r="D344" s="64"/>
      <c r="E344" s="88"/>
      <c r="F344" s="64"/>
      <c r="G344" s="64"/>
    </row>
    <row r="345" spans="3:7">
      <c r="C345" s="64"/>
      <c r="D345" s="64"/>
      <c r="E345" s="88"/>
      <c r="F345" s="64"/>
      <c r="G345" s="64"/>
    </row>
    <row r="346" spans="3:7">
      <c r="C346" s="64"/>
      <c r="D346" s="64"/>
      <c r="E346" s="88"/>
      <c r="F346" s="64"/>
      <c r="G346" s="64"/>
    </row>
    <row r="347" spans="3:7">
      <c r="C347" s="64"/>
      <c r="D347" s="64"/>
      <c r="E347" s="88"/>
      <c r="F347" s="64"/>
      <c r="G347" s="64"/>
    </row>
    <row r="348" spans="3:7">
      <c r="C348" s="64"/>
      <c r="D348" s="64"/>
      <c r="E348" s="88"/>
      <c r="F348" s="64"/>
      <c r="G348" s="64"/>
    </row>
    <row r="349" spans="3:7">
      <c r="C349" s="64"/>
      <c r="D349" s="64"/>
      <c r="E349" s="88"/>
      <c r="F349" s="64"/>
      <c r="G349" s="64"/>
    </row>
    <row r="350" spans="3:7">
      <c r="C350" s="64"/>
      <c r="D350" s="64"/>
      <c r="E350" s="88"/>
      <c r="F350" s="64"/>
      <c r="G350" s="64"/>
    </row>
    <row r="351" spans="3:7">
      <c r="C351" s="64"/>
      <c r="D351" s="64"/>
      <c r="E351" s="88"/>
      <c r="F351" s="64"/>
      <c r="G351" s="64"/>
    </row>
    <row r="352" spans="3:7">
      <c r="C352" s="64"/>
      <c r="D352" s="64"/>
      <c r="E352" s="88"/>
      <c r="F352" s="64"/>
      <c r="G352" s="64"/>
    </row>
    <row r="353" spans="3:7">
      <c r="C353" s="64"/>
      <c r="D353" s="64"/>
      <c r="E353" s="88"/>
      <c r="F353" s="64"/>
      <c r="G353" s="64"/>
    </row>
    <row r="354" spans="3:7">
      <c r="C354" s="64"/>
      <c r="D354" s="64"/>
      <c r="E354" s="88"/>
      <c r="F354" s="64"/>
      <c r="G354" s="64"/>
    </row>
    <row r="355" spans="3:7">
      <c r="C355" s="64"/>
      <c r="D355" s="64"/>
      <c r="E355" s="88"/>
      <c r="F355" s="64"/>
      <c r="G355" s="64"/>
    </row>
    <row r="356" spans="3:7">
      <c r="C356" s="64"/>
      <c r="D356" s="64"/>
      <c r="E356" s="88"/>
      <c r="F356" s="64"/>
      <c r="G356" s="64"/>
    </row>
    <row r="357" spans="3:7">
      <c r="C357" s="64"/>
      <c r="D357" s="64"/>
      <c r="E357" s="88"/>
      <c r="F357" s="64"/>
      <c r="G357" s="64"/>
    </row>
    <row r="358" spans="3:7">
      <c r="C358" s="64"/>
      <c r="D358" s="64"/>
      <c r="E358" s="88"/>
      <c r="F358" s="64"/>
      <c r="G358" s="64"/>
    </row>
    <row r="359" spans="3:7">
      <c r="C359" s="64"/>
      <c r="D359" s="64"/>
      <c r="E359" s="88"/>
      <c r="F359" s="64"/>
      <c r="G359" s="64"/>
    </row>
    <row r="360" spans="3:7">
      <c r="C360" s="64"/>
      <c r="D360" s="64"/>
      <c r="E360" s="88"/>
      <c r="F360" s="64"/>
      <c r="G360" s="64"/>
    </row>
    <row r="361" spans="3:7">
      <c r="C361" s="64"/>
      <c r="D361" s="64"/>
      <c r="E361" s="88"/>
      <c r="F361" s="64"/>
      <c r="G361" s="64"/>
    </row>
    <row r="362" spans="3:7">
      <c r="C362" s="64"/>
      <c r="D362" s="64"/>
      <c r="E362" s="88"/>
      <c r="F362" s="64"/>
      <c r="G362" s="64"/>
    </row>
    <row r="363" spans="3:7">
      <c r="C363" s="64"/>
      <c r="D363" s="64"/>
      <c r="E363" s="88"/>
      <c r="F363" s="64"/>
      <c r="G363" s="64"/>
    </row>
    <row r="364" spans="3:7">
      <c r="C364" s="64"/>
      <c r="D364" s="64"/>
      <c r="E364" s="88"/>
      <c r="F364" s="64"/>
      <c r="G364" s="64"/>
    </row>
    <row r="365" spans="3:7">
      <c r="C365" s="64"/>
      <c r="D365" s="64"/>
      <c r="E365" s="88"/>
      <c r="F365" s="64"/>
      <c r="G365" s="64"/>
    </row>
    <row r="366" spans="3:7">
      <c r="C366" s="64"/>
      <c r="D366" s="64"/>
      <c r="E366" s="88"/>
      <c r="F366" s="64"/>
      <c r="G366" s="64"/>
    </row>
    <row r="367" spans="3:7">
      <c r="C367" s="64"/>
      <c r="D367" s="64"/>
      <c r="E367" s="88"/>
      <c r="F367" s="64"/>
      <c r="G367" s="64"/>
    </row>
    <row r="368" spans="3:7">
      <c r="C368" s="64"/>
      <c r="D368" s="64"/>
      <c r="E368" s="88"/>
      <c r="F368" s="64"/>
      <c r="G368" s="64"/>
    </row>
    <row r="369" spans="3:7">
      <c r="C369" s="64"/>
      <c r="D369" s="64"/>
      <c r="E369" s="88"/>
      <c r="F369" s="64"/>
      <c r="G369" s="64"/>
    </row>
    <row r="370" spans="3:7">
      <c r="C370" s="64"/>
      <c r="D370" s="64"/>
      <c r="E370" s="88"/>
      <c r="F370" s="64"/>
      <c r="G370" s="64"/>
    </row>
    <row r="371" spans="3:7">
      <c r="C371" s="64"/>
      <c r="D371" s="64"/>
      <c r="E371" s="88"/>
      <c r="F371" s="64"/>
      <c r="G371" s="64"/>
    </row>
  </sheetData>
  <mergeCells count="8">
    <mergeCell ref="A54:R54"/>
    <mergeCell ref="F6:G7"/>
    <mergeCell ref="H6:O6"/>
    <mergeCell ref="Q6:R7"/>
    <mergeCell ref="H7:I7"/>
    <mergeCell ref="J7:K7"/>
    <mergeCell ref="L7:M7"/>
    <mergeCell ref="N7:O7"/>
  </mergeCells>
  <pageMargins left="0.7" right="0.7" top="0.75" bottom="0.75" header="0.3" footer="0.3"/>
  <pageSetup orientation="portrait" r:id="rId1"/>
  <drawing r:id="rId2"/>
  <legacyDrawing r:id="rId3"/>
  <oleObjects>
    <oleObject progId="Mathcad" shapeId="1025" r:id="rId4"/>
    <oleObject progId="Mathcad" shapeId="1027" r:id="rId5"/>
    <oleObject progId="Mathcad" shapeId="1028" r:id="rId6"/>
  </oleObjects>
</worksheet>
</file>

<file path=xl/worksheets/sheet4.xml><?xml version="1.0" encoding="utf-8"?>
<worksheet xmlns="http://schemas.openxmlformats.org/spreadsheetml/2006/main" xmlns:r="http://schemas.openxmlformats.org/officeDocument/2006/relationships">
  <dimension ref="A1:V371"/>
  <sheetViews>
    <sheetView zoomScale="90" zoomScaleNormal="90" workbookViewId="0">
      <selection activeCell="T34" sqref="T34"/>
    </sheetView>
  </sheetViews>
  <sheetFormatPr defaultRowHeight="15"/>
  <cols>
    <col min="1" max="1" width="48.42578125" customWidth="1"/>
    <col min="2" max="2" width="34.85546875" customWidth="1"/>
    <col min="3" max="3" width="3.28515625" bestFit="1" customWidth="1"/>
    <col min="4" max="4" width="7.28515625" bestFit="1" customWidth="1"/>
    <col min="5" max="5" width="7.7109375" customWidth="1"/>
    <col min="6" max="6" width="5.28515625" bestFit="1" customWidth="1"/>
    <col min="7" max="7" width="6.28515625" bestFit="1" customWidth="1"/>
    <col min="8" max="8" width="6" bestFit="1" customWidth="1"/>
    <col min="9" max="9" width="6.28515625" bestFit="1" customWidth="1"/>
    <col min="10" max="10" width="5.28515625" bestFit="1" customWidth="1"/>
    <col min="11" max="11" width="6.28515625" bestFit="1" customWidth="1"/>
    <col min="12" max="12" width="5.5703125" bestFit="1" customWidth="1"/>
    <col min="13" max="13" width="7.28515625" customWidth="1"/>
    <col min="14" max="14" width="5.5703125" bestFit="1" customWidth="1"/>
    <col min="15" max="15" width="8.85546875" customWidth="1"/>
    <col min="16" max="17" width="5.5703125" bestFit="1" customWidth="1"/>
    <col min="18" max="18" width="6.7109375" bestFit="1" customWidth="1"/>
  </cols>
  <sheetData>
    <row r="1" spans="2:22">
      <c r="B1" s="17" t="s">
        <v>175</v>
      </c>
      <c r="D1" s="17"/>
      <c r="E1" s="17"/>
      <c r="F1" s="17"/>
      <c r="N1" s="3"/>
    </row>
    <row r="2" spans="2:22">
      <c r="B2" s="17" t="s">
        <v>176</v>
      </c>
      <c r="D2" s="17" t="s">
        <v>177</v>
      </c>
      <c r="E2" s="110">
        <v>1000</v>
      </c>
      <c r="F2" s="18">
        <f>LOG10(E2)</f>
        <v>3</v>
      </c>
      <c r="H2" s="56" t="s">
        <v>194</v>
      </c>
      <c r="I2" s="22"/>
    </row>
    <row r="3" spans="2:22">
      <c r="B3" s="17" t="s">
        <v>178</v>
      </c>
      <c r="D3" s="17" t="s">
        <v>179</v>
      </c>
      <c r="E3" s="111">
        <v>1</v>
      </c>
      <c r="F3" s="18">
        <f>LOG10(E3)</f>
        <v>0</v>
      </c>
      <c r="H3" s="57">
        <f>20*LOG(Gdiv)</f>
        <v>-43.862491967089234</v>
      </c>
      <c r="I3" t="s">
        <v>195</v>
      </c>
    </row>
    <row r="4" spans="2:22">
      <c r="B4" s="17" t="s">
        <v>180</v>
      </c>
      <c r="D4" s="17" t="s">
        <v>181</v>
      </c>
      <c r="E4" s="20">
        <v>40</v>
      </c>
      <c r="F4" s="17"/>
    </row>
    <row r="5" spans="2:22" ht="15.75" thickBot="1">
      <c r="B5" s="17" t="s">
        <v>184</v>
      </c>
      <c r="D5" s="17" t="s">
        <v>182</v>
      </c>
      <c r="E5" s="19">
        <f>(F2-F3)/(E4-1)</f>
        <v>7.6923076923076927E-2</v>
      </c>
      <c r="F5" s="17"/>
      <c r="G5" s="3"/>
      <c r="H5" s="3"/>
      <c r="I5" s="3"/>
      <c r="J5" s="3"/>
    </row>
    <row r="6" spans="2:22" ht="15.75" thickBot="1">
      <c r="F6" s="199" t="s">
        <v>187</v>
      </c>
      <c r="G6" s="200"/>
      <c r="H6" s="203" t="s">
        <v>190</v>
      </c>
      <c r="I6" s="204"/>
      <c r="J6" s="204"/>
      <c r="K6" s="204"/>
      <c r="L6" s="204"/>
      <c r="M6" s="204"/>
      <c r="N6" s="204"/>
      <c r="O6" s="205"/>
      <c r="P6" s="119"/>
      <c r="Q6" s="199" t="s">
        <v>188</v>
      </c>
      <c r="R6" s="200"/>
    </row>
    <row r="7" spans="2:22" ht="15.75" thickBot="1">
      <c r="F7" s="201"/>
      <c r="G7" s="202"/>
      <c r="H7" s="206" t="s">
        <v>189</v>
      </c>
      <c r="I7" s="207"/>
      <c r="J7" s="207" t="s">
        <v>211</v>
      </c>
      <c r="K7" s="207"/>
      <c r="L7" s="207" t="s">
        <v>215</v>
      </c>
      <c r="M7" s="208"/>
      <c r="N7" s="203" t="s">
        <v>191</v>
      </c>
      <c r="O7" s="205"/>
      <c r="P7" s="120" t="s">
        <v>194</v>
      </c>
      <c r="Q7" s="201"/>
      <c r="R7" s="202"/>
      <c r="T7" s="3"/>
      <c r="U7" s="118"/>
      <c r="V7" s="3"/>
    </row>
    <row r="8" spans="2:22" s="22" customFormat="1" ht="30.75" thickBot="1">
      <c r="C8" s="23"/>
      <c r="D8" s="51" t="s">
        <v>183</v>
      </c>
      <c r="E8" s="29" t="s">
        <v>193</v>
      </c>
      <c r="F8" s="48" t="s">
        <v>185</v>
      </c>
      <c r="G8" s="49" t="s">
        <v>186</v>
      </c>
      <c r="H8" s="48" t="s">
        <v>185</v>
      </c>
      <c r="I8" s="50" t="s">
        <v>186</v>
      </c>
      <c r="J8" s="48" t="s">
        <v>185</v>
      </c>
      <c r="K8" s="50" t="s">
        <v>186</v>
      </c>
      <c r="L8" s="48" t="s">
        <v>185</v>
      </c>
      <c r="M8" s="49" t="s">
        <v>186</v>
      </c>
      <c r="N8" s="48" t="s">
        <v>185</v>
      </c>
      <c r="O8" s="49" t="s">
        <v>186</v>
      </c>
      <c r="P8" s="48" t="s">
        <v>185</v>
      </c>
      <c r="Q8" s="48" t="s">
        <v>185</v>
      </c>
      <c r="R8" s="49" t="s">
        <v>186</v>
      </c>
    </row>
    <row r="9" spans="2:22">
      <c r="C9" s="21">
        <v>1</v>
      </c>
      <c r="D9" s="52">
        <f t="shared" ref="D9:D48" si="0">(C9-1)*Df+$F$3</f>
        <v>0</v>
      </c>
      <c r="E9" s="53">
        <f>10^D9</f>
        <v>1</v>
      </c>
      <c r="F9" s="27">
        <f t="shared" ref="F9:F48" si="1">20*LOG10(Kd/((Cout*0.000001)*(2*PI*E9)))</f>
        <v>49.697648108269384</v>
      </c>
      <c r="G9" s="34">
        <f>-90</f>
        <v>-90</v>
      </c>
      <c r="H9" s="30">
        <f t="shared" ref="H9:H48" si="2">-20*LOG10(0.000000001*(Cvc+Cvp)*(2*PI*E9))</f>
        <v>99.954002851404056</v>
      </c>
      <c r="I9" s="37">
        <v>-90</v>
      </c>
      <c r="J9" s="78">
        <f t="shared" ref="J9:J48" si="3">10*LOG10((E9/Fzv0)^2+1)</f>
        <v>2.4371117097986934</v>
      </c>
      <c r="K9" s="78">
        <f t="shared" ref="K9:K48" si="4">ATAN(E9/Fzv0)*180/PI</f>
        <v>40.944618734719164</v>
      </c>
      <c r="L9" s="78">
        <f t="shared" ref="L9:L48" si="5">-10*LOG10((E9/Fpv0)^2+1)</f>
        <v>-1.084381292219893E-2</v>
      </c>
      <c r="M9" s="78">
        <f t="shared" ref="M9:M48" si="6">-ATAN(E9/Fpv0)*180/PI</f>
        <v>-2.862405183825929</v>
      </c>
      <c r="N9" s="31">
        <f t="shared" ref="N9:N48" si="7">H9+J9+L9+20*LOG10(Gmv*0.000001)</f>
        <v>16.359670835000927</v>
      </c>
      <c r="O9" s="28">
        <f>I9+K9+M9</f>
        <v>-51.917786449106764</v>
      </c>
      <c r="P9" s="121">
        <f t="shared" ref="P9:P48" si="8">20*LOG10(Gdiv)</f>
        <v>-43.862491967089234</v>
      </c>
      <c r="Q9" s="31">
        <f>F9+N9+P9</f>
        <v>22.194826976181069</v>
      </c>
      <c r="R9" s="28">
        <f>G9+O9</f>
        <v>-141.91778644910676</v>
      </c>
    </row>
    <row r="10" spans="2:22">
      <c r="C10" s="21">
        <f t="shared" ref="C10:C21" si="9">C9+1</f>
        <v>2</v>
      </c>
      <c r="D10" s="52">
        <f t="shared" si="0"/>
        <v>7.6923076923076927E-2</v>
      </c>
      <c r="E10" s="53">
        <f t="shared" ref="E10:E48" si="10">10^D10</f>
        <v>1.1937766417144364</v>
      </c>
      <c r="F10" s="27">
        <f t="shared" si="1"/>
        <v>48.159186569807851</v>
      </c>
      <c r="G10" s="35">
        <f t="shared" ref="G10:G48" si="11">-90</f>
        <v>-90</v>
      </c>
      <c r="H10" s="30">
        <f t="shared" si="2"/>
        <v>98.415541312942523</v>
      </c>
      <c r="I10" s="38">
        <v>-90</v>
      </c>
      <c r="J10" s="78">
        <f t="shared" si="3"/>
        <v>3.1653548244453127</v>
      </c>
      <c r="K10" s="78">
        <f t="shared" si="4"/>
        <v>46.004969398525965</v>
      </c>
      <c r="L10" s="78">
        <f t="shared" si="5"/>
        <v>-1.5445357929010806E-2</v>
      </c>
      <c r="M10" s="78">
        <f t="shared" si="6"/>
        <v>-3.4158653266255263</v>
      </c>
      <c r="N10" s="31">
        <f t="shared" si="7"/>
        <v>15.544850866179203</v>
      </c>
      <c r="O10" s="28">
        <f t="shared" ref="O10:O32" si="12">I10+K10+M10</f>
        <v>-47.410895928099563</v>
      </c>
      <c r="P10" s="121">
        <f t="shared" si="8"/>
        <v>-43.862491967089234</v>
      </c>
      <c r="Q10" s="31">
        <f t="shared" ref="Q10:Q48" si="13">F10+N10+P10</f>
        <v>19.84154546889782</v>
      </c>
      <c r="R10" s="25">
        <f t="shared" ref="R10:R32" si="14">G10+O10</f>
        <v>-137.41089592809956</v>
      </c>
    </row>
    <row r="11" spans="2:22">
      <c r="C11" s="21">
        <f t="shared" si="9"/>
        <v>3</v>
      </c>
      <c r="D11" s="52">
        <f t="shared" si="0"/>
        <v>0.15384615384615385</v>
      </c>
      <c r="E11" s="53">
        <f t="shared" si="10"/>
        <v>1.4251026703029981</v>
      </c>
      <c r="F11" s="27">
        <f t="shared" si="1"/>
        <v>46.620725031346311</v>
      </c>
      <c r="G11" s="35">
        <f t="shared" si="11"/>
        <v>-90</v>
      </c>
      <c r="H11" s="30">
        <f t="shared" si="2"/>
        <v>96.877079774480976</v>
      </c>
      <c r="I11" s="38">
        <v>-90</v>
      </c>
      <c r="J11" s="78">
        <f t="shared" si="3"/>
        <v>4.0289749255993907</v>
      </c>
      <c r="K11" s="78">
        <f t="shared" si="4"/>
        <v>51.034223834257297</v>
      </c>
      <c r="L11" s="78">
        <f t="shared" si="5"/>
        <v>-2.1994618456456859E-2</v>
      </c>
      <c r="M11" s="78">
        <f t="shared" si="6"/>
        <v>-4.0757297805009411</v>
      </c>
      <c r="N11" s="31">
        <f t="shared" si="7"/>
        <v>14.863460168344275</v>
      </c>
      <c r="O11" s="28">
        <f t="shared" si="12"/>
        <v>-43.041505946243646</v>
      </c>
      <c r="P11" s="121">
        <f t="shared" si="8"/>
        <v>-43.862491967089234</v>
      </c>
      <c r="Q11" s="31">
        <f t="shared" si="13"/>
        <v>17.621693232601352</v>
      </c>
      <c r="R11" s="25">
        <f t="shared" si="14"/>
        <v>-133.04150594624366</v>
      </c>
    </row>
    <row r="12" spans="2:22">
      <c r="C12" s="21">
        <f t="shared" si="9"/>
        <v>4</v>
      </c>
      <c r="D12" s="52">
        <f t="shared" si="0"/>
        <v>0.23076923076923078</v>
      </c>
      <c r="E12" s="53">
        <f t="shared" si="10"/>
        <v>1.7012542798525891</v>
      </c>
      <c r="F12" s="27">
        <f t="shared" si="1"/>
        <v>45.082263492884771</v>
      </c>
      <c r="G12" s="35">
        <f t="shared" si="11"/>
        <v>-90</v>
      </c>
      <c r="H12" s="30">
        <f t="shared" si="2"/>
        <v>95.338618236019443</v>
      </c>
      <c r="I12" s="38">
        <v>-90</v>
      </c>
      <c r="J12" s="78">
        <f t="shared" si="3"/>
        <v>5.0222986437898527</v>
      </c>
      <c r="K12" s="78">
        <f t="shared" si="4"/>
        <v>55.881970828541562</v>
      </c>
      <c r="L12" s="78">
        <f t="shared" si="5"/>
        <v>-3.1310953502759878E-2</v>
      </c>
      <c r="M12" s="78">
        <f t="shared" si="6"/>
        <v>-4.8620303004312699</v>
      </c>
      <c r="N12" s="31">
        <f t="shared" si="7"/>
        <v>14.309006013026917</v>
      </c>
      <c r="O12" s="28">
        <f t="shared" si="12"/>
        <v>-38.98005947188971</v>
      </c>
      <c r="P12" s="121">
        <f t="shared" si="8"/>
        <v>-43.862491967089234</v>
      </c>
      <c r="Q12" s="31">
        <f t="shared" si="13"/>
        <v>15.528777538822453</v>
      </c>
      <c r="R12" s="25">
        <f t="shared" si="14"/>
        <v>-128.98005947188972</v>
      </c>
    </row>
    <row r="13" spans="2:22">
      <c r="C13" s="21">
        <f t="shared" si="9"/>
        <v>5</v>
      </c>
      <c r="D13" s="52">
        <f t="shared" si="0"/>
        <v>0.30769230769230771</v>
      </c>
      <c r="E13" s="53">
        <f t="shared" si="10"/>
        <v>2.0309176209047357</v>
      </c>
      <c r="F13" s="27">
        <f t="shared" si="1"/>
        <v>43.543801954423238</v>
      </c>
      <c r="G13" s="35">
        <f t="shared" si="11"/>
        <v>-90</v>
      </c>
      <c r="H13" s="30">
        <f t="shared" si="2"/>
        <v>93.80015669755791</v>
      </c>
      <c r="I13" s="38">
        <v>-90</v>
      </c>
      <c r="J13" s="78">
        <f t="shared" si="3"/>
        <v>6.1327781796186436</v>
      </c>
      <c r="K13" s="78">
        <f t="shared" si="4"/>
        <v>60.423576803962881</v>
      </c>
      <c r="L13" s="78">
        <f t="shared" si="5"/>
        <v>-4.4553247824158863E-2</v>
      </c>
      <c r="M13" s="78">
        <f t="shared" si="6"/>
        <v>-5.7982750674674124</v>
      </c>
      <c r="N13" s="31">
        <f t="shared" si="7"/>
        <v>13.86778171607277</v>
      </c>
      <c r="O13" s="28">
        <f t="shared" si="12"/>
        <v>-35.374698263504534</v>
      </c>
      <c r="P13" s="121">
        <f t="shared" si="8"/>
        <v>-43.862491967089234</v>
      </c>
      <c r="Q13" s="31">
        <f t="shared" si="13"/>
        <v>13.549091703406773</v>
      </c>
      <c r="R13" s="25">
        <f t="shared" si="14"/>
        <v>-125.37469826350454</v>
      </c>
    </row>
    <row r="14" spans="2:22">
      <c r="C14" s="21">
        <f t="shared" si="9"/>
        <v>6</v>
      </c>
      <c r="D14" s="52">
        <f t="shared" si="0"/>
        <v>0.38461538461538464</v>
      </c>
      <c r="E14" s="53">
        <f t="shared" si="10"/>
        <v>2.424462017082329</v>
      </c>
      <c r="F14" s="27">
        <f t="shared" si="1"/>
        <v>42.005340415961697</v>
      </c>
      <c r="G14" s="35">
        <f t="shared" si="11"/>
        <v>-90</v>
      </c>
      <c r="H14" s="30">
        <f t="shared" si="2"/>
        <v>92.261695159096348</v>
      </c>
      <c r="I14" s="38">
        <v>-90</v>
      </c>
      <c r="J14" s="78">
        <f t="shared" si="3"/>
        <v>7.3435712959154822</v>
      </c>
      <c r="K14" s="78">
        <f t="shared" si="4"/>
        <v>64.573057278228433</v>
      </c>
      <c r="L14" s="78">
        <f t="shared" si="5"/>
        <v>-6.3355375526103749E-2</v>
      </c>
      <c r="M14" s="78">
        <f t="shared" si="6"/>
        <v>-6.9118469942967007</v>
      </c>
      <c r="N14" s="31">
        <f t="shared" si="7"/>
        <v>13.521311166206104</v>
      </c>
      <c r="O14" s="28">
        <f t="shared" si="12"/>
        <v>-32.33878971606827</v>
      </c>
      <c r="P14" s="121">
        <f t="shared" si="8"/>
        <v>-43.862491967089234</v>
      </c>
      <c r="Q14" s="31">
        <f t="shared" si="13"/>
        <v>11.664159615078567</v>
      </c>
      <c r="R14" s="25">
        <f t="shared" si="14"/>
        <v>-122.33878971606828</v>
      </c>
    </row>
    <row r="15" spans="2:22">
      <c r="C15" s="21">
        <f t="shared" si="9"/>
        <v>7</v>
      </c>
      <c r="D15" s="52">
        <f t="shared" si="0"/>
        <v>0.46153846153846156</v>
      </c>
      <c r="E15" s="53">
        <f t="shared" si="10"/>
        <v>2.8942661247167512</v>
      </c>
      <c r="F15" s="27">
        <f t="shared" si="1"/>
        <v>40.46687887750015</v>
      </c>
      <c r="G15" s="35">
        <f t="shared" si="11"/>
        <v>-90</v>
      </c>
      <c r="H15" s="30">
        <f t="shared" si="2"/>
        <v>90.723233620634829</v>
      </c>
      <c r="I15" s="38">
        <v>-90</v>
      </c>
      <c r="J15" s="78">
        <f t="shared" si="3"/>
        <v>8.6363929019733892</v>
      </c>
      <c r="K15" s="78">
        <f t="shared" si="4"/>
        <v>68.285504462127506</v>
      </c>
      <c r="L15" s="78">
        <f t="shared" si="5"/>
        <v>-9.0010452999117224E-2</v>
      </c>
      <c r="M15" s="78">
        <f t="shared" si="6"/>
        <v>-8.2342983620436225</v>
      </c>
      <c r="N15" s="31">
        <f t="shared" si="7"/>
        <v>13.249016156329475</v>
      </c>
      <c r="O15" s="28">
        <f t="shared" si="12"/>
        <v>-29.948793899916119</v>
      </c>
      <c r="P15" s="121">
        <f t="shared" si="8"/>
        <v>-43.862491967089234</v>
      </c>
      <c r="Q15" s="31">
        <f t="shared" si="13"/>
        <v>9.8534030667403911</v>
      </c>
      <c r="R15" s="25">
        <f t="shared" si="14"/>
        <v>-119.94879389991613</v>
      </c>
    </row>
    <row r="16" spans="2:22">
      <c r="C16" s="21">
        <f t="shared" si="9"/>
        <v>8</v>
      </c>
      <c r="D16" s="52">
        <f t="shared" si="0"/>
        <v>0.53846153846153855</v>
      </c>
      <c r="E16" s="53">
        <f t="shared" si="10"/>
        <v>3.4551072945922203</v>
      </c>
      <c r="F16" s="27">
        <f t="shared" si="1"/>
        <v>38.928417339038617</v>
      </c>
      <c r="G16" s="35">
        <f t="shared" si="11"/>
        <v>-90</v>
      </c>
      <c r="H16" s="30">
        <f t="shared" si="2"/>
        <v>89.184772082173282</v>
      </c>
      <c r="I16" s="38">
        <v>-90</v>
      </c>
      <c r="J16" s="78">
        <f t="shared" si="3"/>
        <v>9.9937979599828743</v>
      </c>
      <c r="K16" s="78">
        <f t="shared" si="4"/>
        <v>71.551407620948638</v>
      </c>
      <c r="L16" s="78">
        <f t="shared" si="5"/>
        <v>-0.12771618532530848</v>
      </c>
      <c r="M16" s="78">
        <f t="shared" si="6"/>
        <v>-9.8014114405015036</v>
      </c>
      <c r="N16" s="31">
        <f t="shared" si="7"/>
        <v>13.030253943551216</v>
      </c>
      <c r="O16" s="28">
        <f t="shared" si="12"/>
        <v>-28.250003819552866</v>
      </c>
      <c r="P16" s="121">
        <f t="shared" si="8"/>
        <v>-43.862491967089234</v>
      </c>
      <c r="Q16" s="31">
        <f t="shared" si="13"/>
        <v>8.0961793155005992</v>
      </c>
      <c r="R16" s="54">
        <f t="shared" si="14"/>
        <v>-118.25000381955286</v>
      </c>
    </row>
    <row r="17" spans="3:20">
      <c r="C17" s="21">
        <f t="shared" si="9"/>
        <v>9</v>
      </c>
      <c r="D17" s="52">
        <f t="shared" si="0"/>
        <v>0.61538461538461542</v>
      </c>
      <c r="E17" s="53">
        <f t="shared" si="10"/>
        <v>4.1246263829013525</v>
      </c>
      <c r="F17" s="27">
        <f t="shared" si="1"/>
        <v>37.389955800577077</v>
      </c>
      <c r="G17" s="35">
        <f t="shared" si="11"/>
        <v>-90</v>
      </c>
      <c r="H17" s="30">
        <f t="shared" si="2"/>
        <v>87.646310543711735</v>
      </c>
      <c r="I17" s="38">
        <v>-90</v>
      </c>
      <c r="J17" s="78">
        <f t="shared" si="3"/>
        <v>11.400548789781343</v>
      </c>
      <c r="K17" s="78">
        <f t="shared" si="4"/>
        <v>74.387110327876172</v>
      </c>
      <c r="L17" s="78">
        <f t="shared" si="5"/>
        <v>-0.18089126442595688</v>
      </c>
      <c r="M17" s="78">
        <f t="shared" si="6"/>
        <v>-11.652813748944217</v>
      </c>
      <c r="N17" s="31">
        <f t="shared" si="7"/>
        <v>12.845368155787497</v>
      </c>
      <c r="O17" s="28">
        <f t="shared" si="12"/>
        <v>-27.265703421068046</v>
      </c>
      <c r="P17" s="121">
        <f t="shared" si="8"/>
        <v>-43.862491967089234</v>
      </c>
      <c r="Q17" s="31">
        <f t="shared" si="13"/>
        <v>6.3728319892753404</v>
      </c>
      <c r="R17" s="25">
        <f t="shared" si="14"/>
        <v>-117.26570342106805</v>
      </c>
    </row>
    <row r="18" spans="3:20">
      <c r="C18" s="21">
        <f t="shared" si="9"/>
        <v>10</v>
      </c>
      <c r="D18" s="52">
        <f t="shared" si="0"/>
        <v>0.69230769230769229</v>
      </c>
      <c r="E18" s="53">
        <f t="shared" si="10"/>
        <v>4.9238826317067392</v>
      </c>
      <c r="F18" s="27">
        <f t="shared" si="1"/>
        <v>35.851494262115544</v>
      </c>
      <c r="G18" s="35">
        <f t="shared" si="11"/>
        <v>-90</v>
      </c>
      <c r="H18" s="30">
        <f t="shared" si="2"/>
        <v>86.107849005250202</v>
      </c>
      <c r="I18" s="38">
        <v>-90</v>
      </c>
      <c r="J18" s="78">
        <f t="shared" si="3"/>
        <v>12.844144065839204</v>
      </c>
      <c r="K18" s="78">
        <f t="shared" si="4"/>
        <v>76.825034592926883</v>
      </c>
      <c r="L18" s="78">
        <f t="shared" si="5"/>
        <v>-0.2555635242559528</v>
      </c>
      <c r="M18" s="78">
        <f t="shared" si="6"/>
        <v>-13.830827065948235</v>
      </c>
      <c r="N18" s="31">
        <f t="shared" si="7"/>
        <v>12.675829633553832</v>
      </c>
      <c r="O18" s="28">
        <f t="shared" si="12"/>
        <v>-27.005792473021351</v>
      </c>
      <c r="P18" s="121">
        <f t="shared" si="8"/>
        <v>-43.862491967089234</v>
      </c>
      <c r="Q18" s="31">
        <f t="shared" si="13"/>
        <v>4.6648319285801421</v>
      </c>
      <c r="R18" s="25">
        <f t="shared" si="14"/>
        <v>-117.00579247302136</v>
      </c>
    </row>
    <row r="19" spans="3:20">
      <c r="C19" s="21">
        <f t="shared" si="9"/>
        <v>11</v>
      </c>
      <c r="D19" s="52">
        <f t="shared" si="0"/>
        <v>0.76923076923076927</v>
      </c>
      <c r="E19" s="53">
        <f t="shared" si="10"/>
        <v>5.8780160722749146</v>
      </c>
      <c r="F19" s="27">
        <f t="shared" si="1"/>
        <v>34.313032723653997</v>
      </c>
      <c r="G19" s="35">
        <f t="shared" si="11"/>
        <v>-90</v>
      </c>
      <c r="H19" s="30">
        <f t="shared" si="2"/>
        <v>84.569387466788669</v>
      </c>
      <c r="I19" s="38">
        <v>-90</v>
      </c>
      <c r="J19" s="78">
        <f t="shared" si="3"/>
        <v>14.314778303414395</v>
      </c>
      <c r="K19" s="78">
        <f t="shared" si="4"/>
        <v>78.905671084266928</v>
      </c>
      <c r="L19" s="78">
        <f t="shared" si="5"/>
        <v>-0.35980835245180165</v>
      </c>
      <c r="M19" s="78">
        <f t="shared" si="6"/>
        <v>-16.378104395776305</v>
      </c>
      <c r="N19" s="31">
        <f t="shared" si="7"/>
        <v>12.503757504471636</v>
      </c>
      <c r="O19" s="28">
        <f t="shared" si="12"/>
        <v>-27.472433311509377</v>
      </c>
      <c r="P19" s="121">
        <f t="shared" si="8"/>
        <v>-43.862491967089234</v>
      </c>
      <c r="Q19" s="31">
        <f t="shared" si="13"/>
        <v>2.9542982610363993</v>
      </c>
      <c r="R19" s="25">
        <f t="shared" si="14"/>
        <v>-117.47243331150938</v>
      </c>
    </row>
    <row r="20" spans="3:20">
      <c r="C20" s="21">
        <f t="shared" si="9"/>
        <v>12</v>
      </c>
      <c r="D20" s="52">
        <f t="shared" si="0"/>
        <v>0.84615384615384626</v>
      </c>
      <c r="E20" s="171">
        <f t="shared" si="10"/>
        <v>7.0170382867038308</v>
      </c>
      <c r="F20" s="161">
        <f t="shared" si="1"/>
        <v>32.774571185192457</v>
      </c>
      <c r="G20" s="162">
        <f t="shared" si="11"/>
        <v>-90</v>
      </c>
      <c r="H20" s="161">
        <f t="shared" si="2"/>
        <v>83.030925928327122</v>
      </c>
      <c r="I20" s="163">
        <v>-90</v>
      </c>
      <c r="J20" s="164">
        <f t="shared" si="3"/>
        <v>15.805004686065704</v>
      </c>
      <c r="K20" s="164">
        <f t="shared" si="4"/>
        <v>80.671910563674189</v>
      </c>
      <c r="L20" s="164">
        <f t="shared" si="5"/>
        <v>-0.50417292607331532</v>
      </c>
      <c r="M20" s="164">
        <f t="shared" si="6"/>
        <v>-19.333518650091005</v>
      </c>
      <c r="N20" s="165">
        <f t="shared" si="7"/>
        <v>12.311157775039888</v>
      </c>
      <c r="O20" s="166">
        <f t="shared" si="12"/>
        <v>-28.661608086416816</v>
      </c>
      <c r="P20" s="167">
        <f t="shared" si="8"/>
        <v>-43.862491967089234</v>
      </c>
      <c r="Q20" s="169">
        <f t="shared" si="13"/>
        <v>1.2232369931431109</v>
      </c>
      <c r="R20" s="173">
        <f t="shared" si="14"/>
        <v>-118.66160808641682</v>
      </c>
      <c r="T20" t="s">
        <v>367</v>
      </c>
    </row>
    <row r="21" spans="3:20">
      <c r="C21" s="21">
        <f t="shared" si="9"/>
        <v>13</v>
      </c>
      <c r="D21" s="52">
        <f t="shared" si="0"/>
        <v>0.92307692307692313</v>
      </c>
      <c r="E21" s="172">
        <f t="shared" si="10"/>
        <v>8.3767764006829211</v>
      </c>
      <c r="F21" s="27">
        <f t="shared" si="1"/>
        <v>31.236109646730924</v>
      </c>
      <c r="G21" s="35">
        <f t="shared" si="11"/>
        <v>-90</v>
      </c>
      <c r="H21" s="30">
        <f t="shared" si="2"/>
        <v>81.492464389865589</v>
      </c>
      <c r="I21" s="38">
        <v>-90</v>
      </c>
      <c r="J21" s="78">
        <f t="shared" si="3"/>
        <v>17.309296704554328</v>
      </c>
      <c r="K21" s="78">
        <f t="shared" si="4"/>
        <v>82.165485943032323</v>
      </c>
      <c r="L21" s="78">
        <f t="shared" si="5"/>
        <v>-0.70195277096585895</v>
      </c>
      <c r="M21" s="78">
        <f t="shared" si="6"/>
        <v>-22.725827459970382</v>
      </c>
      <c r="N21" s="31">
        <f t="shared" si="7"/>
        <v>12.079208410174431</v>
      </c>
      <c r="O21" s="28">
        <f t="shared" si="12"/>
        <v>-30.56034151693806</v>
      </c>
      <c r="P21" s="121">
        <f t="shared" si="8"/>
        <v>-43.862491967089234</v>
      </c>
      <c r="Q21" s="170">
        <f t="shared" si="13"/>
        <v>-0.54717391018387929</v>
      </c>
      <c r="R21" s="174">
        <f t="shared" si="14"/>
        <v>-120.56034151693805</v>
      </c>
    </row>
    <row r="22" spans="3:20">
      <c r="C22" s="21">
        <f t="shared" ref="C22:C48" si="15">C21+1</f>
        <v>14</v>
      </c>
      <c r="D22" s="52">
        <f t="shared" si="0"/>
        <v>1</v>
      </c>
      <c r="E22" s="53">
        <f t="shared" si="10"/>
        <v>10</v>
      </c>
      <c r="F22" s="27">
        <f t="shared" si="1"/>
        <v>29.697648108269391</v>
      </c>
      <c r="G22" s="35">
        <f t="shared" si="11"/>
        <v>-90</v>
      </c>
      <c r="H22" s="30">
        <f t="shared" si="2"/>
        <v>79.954002851404056</v>
      </c>
      <c r="I22" s="38">
        <v>-90</v>
      </c>
      <c r="J22" s="78">
        <f t="shared" si="3"/>
        <v>18.823619831799125</v>
      </c>
      <c r="K22" s="78">
        <f t="shared" si="4"/>
        <v>83.425006491567459</v>
      </c>
      <c r="L22" s="78">
        <f t="shared" si="5"/>
        <v>-0.96910013008056417</v>
      </c>
      <c r="M22" s="78">
        <f t="shared" si="6"/>
        <v>-26.565050784637073</v>
      </c>
      <c r="N22" s="31">
        <f t="shared" si="7"/>
        <v>11.787922639842989</v>
      </c>
      <c r="O22" s="28">
        <f t="shared" si="12"/>
        <v>-33.140044293069614</v>
      </c>
      <c r="P22" s="121">
        <f t="shared" si="8"/>
        <v>-43.862491967089234</v>
      </c>
      <c r="Q22" s="31">
        <f t="shared" si="13"/>
        <v>-2.3769212189768538</v>
      </c>
      <c r="R22" s="25">
        <f t="shared" si="14"/>
        <v>-123.14004429306962</v>
      </c>
    </row>
    <row r="23" spans="3:20">
      <c r="C23" s="21">
        <f t="shared" si="15"/>
        <v>15</v>
      </c>
      <c r="D23" s="52">
        <f t="shared" si="0"/>
        <v>1.0769230769230771</v>
      </c>
      <c r="E23" s="53">
        <f t="shared" si="10"/>
        <v>11.937766417144372</v>
      </c>
      <c r="F23" s="27">
        <f t="shared" si="1"/>
        <v>28.159186569807844</v>
      </c>
      <c r="G23" s="35">
        <f t="shared" si="11"/>
        <v>-90</v>
      </c>
      <c r="H23" s="30">
        <f t="shared" si="2"/>
        <v>78.415541312942509</v>
      </c>
      <c r="I23" s="38">
        <v>-90</v>
      </c>
      <c r="J23" s="78">
        <f t="shared" si="3"/>
        <v>20.34506289478346</v>
      </c>
      <c r="K23" s="78">
        <f t="shared" si="4"/>
        <v>84.48506496780773</v>
      </c>
      <c r="L23" s="78">
        <f t="shared" si="5"/>
        <v>-1.3234797031225811</v>
      </c>
      <c r="M23" s="78">
        <f t="shared" si="6"/>
        <v>-30.832483387463459</v>
      </c>
      <c r="N23" s="31">
        <f t="shared" si="7"/>
        <v>11.416524591323764</v>
      </c>
      <c r="O23" s="28">
        <f t="shared" si="12"/>
        <v>-36.347418419655725</v>
      </c>
      <c r="P23" s="121">
        <f t="shared" si="8"/>
        <v>-43.862491967089234</v>
      </c>
      <c r="Q23" s="31">
        <f t="shared" si="13"/>
        <v>-4.2867808059576262</v>
      </c>
      <c r="R23" s="25">
        <f t="shared" si="14"/>
        <v>-126.34741841965572</v>
      </c>
    </row>
    <row r="24" spans="3:20">
      <c r="C24" s="21">
        <f t="shared" si="15"/>
        <v>16</v>
      </c>
      <c r="D24" s="52">
        <f t="shared" si="0"/>
        <v>1.153846153846154</v>
      </c>
      <c r="E24" s="53">
        <f t="shared" si="10"/>
        <v>14.251026703029988</v>
      </c>
      <c r="F24" s="27">
        <f t="shared" si="1"/>
        <v>26.620725031346307</v>
      </c>
      <c r="G24" s="35">
        <f t="shared" si="11"/>
        <v>-90</v>
      </c>
      <c r="H24" s="30">
        <f t="shared" si="2"/>
        <v>76.877079774480976</v>
      </c>
      <c r="I24" s="38">
        <v>-90</v>
      </c>
      <c r="J24" s="78">
        <f t="shared" si="3"/>
        <v>21.871542561768273</v>
      </c>
      <c r="K24" s="78">
        <f t="shared" si="4"/>
        <v>85.376007082244811</v>
      </c>
      <c r="L24" s="78">
        <f t="shared" si="5"/>
        <v>-1.7832340495415915</v>
      </c>
      <c r="M24" s="78">
        <f t="shared" si="6"/>
        <v>-35.471822496677532</v>
      </c>
      <c r="N24" s="31">
        <f t="shared" si="7"/>
        <v>10.944788373428025</v>
      </c>
      <c r="O24" s="28">
        <f t="shared" si="12"/>
        <v>-40.095815414432721</v>
      </c>
      <c r="P24" s="121">
        <f t="shared" si="8"/>
        <v>-43.862491967089234</v>
      </c>
      <c r="Q24" s="31">
        <f t="shared" si="13"/>
        <v>-6.2969785623148979</v>
      </c>
      <c r="R24" s="25">
        <f t="shared" si="14"/>
        <v>-130.09581541443271</v>
      </c>
    </row>
    <row r="25" spans="3:20">
      <c r="C25" s="21">
        <f t="shared" si="15"/>
        <v>17</v>
      </c>
      <c r="D25" s="52">
        <f t="shared" si="0"/>
        <v>1.2307692307692308</v>
      </c>
      <c r="E25" s="53">
        <f t="shared" si="10"/>
        <v>17.012542798525896</v>
      </c>
      <c r="F25" s="27">
        <f t="shared" si="1"/>
        <v>25.082263492884771</v>
      </c>
      <c r="G25" s="35">
        <f t="shared" si="11"/>
        <v>-90</v>
      </c>
      <c r="H25" s="30">
        <f t="shared" si="2"/>
        <v>75.338618236019428</v>
      </c>
      <c r="I25" s="38">
        <v>-90</v>
      </c>
      <c r="J25" s="78">
        <f t="shared" si="3"/>
        <v>23.401576594791859</v>
      </c>
      <c r="K25" s="78">
        <f t="shared" si="4"/>
        <v>86.124076183917254</v>
      </c>
      <c r="L25" s="78">
        <f t="shared" si="5"/>
        <v>-2.3642805221528618</v>
      </c>
      <c r="M25" s="78">
        <f t="shared" si="6"/>
        <v>-40.385390172502561</v>
      </c>
      <c r="N25" s="31">
        <f t="shared" si="7"/>
        <v>10.355314395378798</v>
      </c>
      <c r="O25" s="28">
        <f t="shared" si="12"/>
        <v>-44.261313988585307</v>
      </c>
      <c r="P25" s="121">
        <f t="shared" si="8"/>
        <v>-43.862491967089234</v>
      </c>
      <c r="Q25" s="31">
        <f t="shared" si="13"/>
        <v>-8.4249140788256653</v>
      </c>
      <c r="R25" s="25">
        <f t="shared" si="14"/>
        <v>-134.2613139885853</v>
      </c>
    </row>
    <row r="26" spans="3:20">
      <c r="C26" s="21">
        <f t="shared" si="15"/>
        <v>18</v>
      </c>
      <c r="D26" s="52">
        <f t="shared" si="0"/>
        <v>1.3076923076923077</v>
      </c>
      <c r="E26" s="53">
        <f t="shared" si="10"/>
        <v>20.309176209047362</v>
      </c>
      <c r="F26" s="27">
        <f t="shared" si="1"/>
        <v>23.54380195442323</v>
      </c>
      <c r="G26" s="35">
        <f t="shared" si="11"/>
        <v>-90</v>
      </c>
      <c r="H26" s="30">
        <f t="shared" si="2"/>
        <v>73.800156697557895</v>
      </c>
      <c r="I26" s="38">
        <v>-90</v>
      </c>
      <c r="J26" s="78">
        <f t="shared" si="3"/>
        <v>24.93411474135619</v>
      </c>
      <c r="K26" s="78">
        <f t="shared" si="4"/>
        <v>86.751747862010575</v>
      </c>
      <c r="L26" s="78">
        <f t="shared" si="5"/>
        <v>-3.0774340742140494</v>
      </c>
      <c r="M26" s="78">
        <f t="shared" si="6"/>
        <v>-45.439456201754489</v>
      </c>
      <c r="N26" s="31">
        <f t="shared" si="7"/>
        <v>9.6362374514203992</v>
      </c>
      <c r="O26" s="28">
        <f t="shared" si="12"/>
        <v>-48.687708339743914</v>
      </c>
      <c r="P26" s="121">
        <f t="shared" si="8"/>
        <v>-43.862491967089234</v>
      </c>
      <c r="Q26" s="31">
        <f t="shared" si="13"/>
        <v>-10.682452561245604</v>
      </c>
      <c r="R26" s="25">
        <f t="shared" si="14"/>
        <v>-138.68770833974392</v>
      </c>
    </row>
    <row r="27" spans="3:20">
      <c r="C27" s="21">
        <f t="shared" si="15"/>
        <v>19</v>
      </c>
      <c r="D27" s="52">
        <f t="shared" si="0"/>
        <v>1.3846153846153846</v>
      </c>
      <c r="E27" s="53">
        <f t="shared" si="10"/>
        <v>24.244620170823286</v>
      </c>
      <c r="F27" s="27">
        <f t="shared" si="1"/>
        <v>22.005340415961694</v>
      </c>
      <c r="G27" s="35">
        <f t="shared" si="11"/>
        <v>-90</v>
      </c>
      <c r="H27" s="30">
        <f t="shared" si="2"/>
        <v>72.261695159096362</v>
      </c>
      <c r="I27" s="38">
        <v>-90</v>
      </c>
      <c r="J27" s="78">
        <f t="shared" si="3"/>
        <v>26.468414984244006</v>
      </c>
      <c r="K27" s="78">
        <f t="shared" si="4"/>
        <v>87.278142083461418</v>
      </c>
      <c r="L27" s="78">
        <f t="shared" si="5"/>
        <v>-3.9260973712792016</v>
      </c>
      <c r="M27" s="78">
        <f t="shared" si="6"/>
        <v>-50.479915543456265</v>
      </c>
      <c r="N27" s="31">
        <f t="shared" si="7"/>
        <v>8.7834128587815457</v>
      </c>
      <c r="O27" s="28">
        <f t="shared" si="12"/>
        <v>-53.201773459994847</v>
      </c>
      <c r="P27" s="121">
        <f t="shared" si="8"/>
        <v>-43.862491967089234</v>
      </c>
      <c r="Q27" s="31">
        <f t="shared" si="13"/>
        <v>-13.073738692345994</v>
      </c>
      <c r="R27" s="25">
        <f t="shared" si="14"/>
        <v>-143.20177345999485</v>
      </c>
    </row>
    <row r="28" spans="3:20">
      <c r="C28" s="21">
        <f t="shared" si="15"/>
        <v>20</v>
      </c>
      <c r="D28" s="52">
        <f t="shared" si="0"/>
        <v>1.4615384615384617</v>
      </c>
      <c r="E28" s="53">
        <f t="shared" si="10"/>
        <v>28.942661247167532</v>
      </c>
      <c r="F28" s="27">
        <f t="shared" si="1"/>
        <v>20.46687887750015</v>
      </c>
      <c r="G28" s="35">
        <f t="shared" si="11"/>
        <v>-90</v>
      </c>
      <c r="H28" s="30">
        <f t="shared" si="2"/>
        <v>70.723233620634815</v>
      </c>
      <c r="I28" s="38">
        <v>-90</v>
      </c>
      <c r="J28" s="78">
        <f t="shared" si="3"/>
        <v>28.003954143272075</v>
      </c>
      <c r="K28" s="78">
        <f t="shared" si="4"/>
        <v>87.719448664982295</v>
      </c>
      <c r="L28" s="78">
        <f t="shared" si="5"/>
        <v>-4.9054755370370042</v>
      </c>
      <c r="M28" s="78">
        <f t="shared" si="6"/>
        <v>-55.354693968404682</v>
      </c>
      <c r="N28" s="31">
        <f t="shared" si="7"/>
        <v>7.8011123135902665</v>
      </c>
      <c r="O28" s="28">
        <f t="shared" si="12"/>
        <v>-57.635245303422387</v>
      </c>
      <c r="P28" s="121">
        <f t="shared" si="8"/>
        <v>-43.862491967089234</v>
      </c>
      <c r="Q28" s="31">
        <f t="shared" si="13"/>
        <v>-15.594500775998817</v>
      </c>
      <c r="R28" s="25">
        <f t="shared" si="14"/>
        <v>-147.63524530342238</v>
      </c>
    </row>
    <row r="29" spans="3:20">
      <c r="C29" s="21">
        <f t="shared" si="15"/>
        <v>21</v>
      </c>
      <c r="D29" s="52">
        <f t="shared" si="0"/>
        <v>1.5384615384615385</v>
      </c>
      <c r="E29" s="53">
        <f t="shared" si="10"/>
        <v>34.551072945922215</v>
      </c>
      <c r="F29" s="27">
        <f t="shared" si="1"/>
        <v>18.928417339038614</v>
      </c>
      <c r="G29" s="35">
        <f t="shared" si="11"/>
        <v>-90</v>
      </c>
      <c r="H29" s="30">
        <f t="shared" si="2"/>
        <v>69.184772082173282</v>
      </c>
      <c r="I29" s="38">
        <v>-90</v>
      </c>
      <c r="J29" s="78">
        <f t="shared" si="3"/>
        <v>29.540363862185647</v>
      </c>
      <c r="K29" s="78">
        <f t="shared" si="4"/>
        <v>88.089331995950005</v>
      </c>
      <c r="L29" s="78">
        <f t="shared" si="5"/>
        <v>-6.003674662165702</v>
      </c>
      <c r="M29" s="78">
        <f t="shared" si="6"/>
        <v>-59.935456380132599</v>
      </c>
      <c r="N29" s="31">
        <f t="shared" si="7"/>
        <v>6.7008613689135927</v>
      </c>
      <c r="O29" s="28">
        <f t="shared" si="12"/>
        <v>-61.846124384182595</v>
      </c>
      <c r="P29" s="121">
        <f t="shared" si="8"/>
        <v>-43.862491967089234</v>
      </c>
      <c r="Q29" s="31">
        <f t="shared" si="13"/>
        <v>-18.233213259137028</v>
      </c>
      <c r="R29" s="25">
        <f t="shared" si="14"/>
        <v>-151.84612438418259</v>
      </c>
    </row>
    <row r="30" spans="3:20">
      <c r="C30" s="21">
        <f t="shared" si="15"/>
        <v>22</v>
      </c>
      <c r="D30" s="52">
        <f t="shared" si="0"/>
        <v>1.6153846153846154</v>
      </c>
      <c r="E30" s="53">
        <f t="shared" si="10"/>
        <v>41.246263829013543</v>
      </c>
      <c r="F30" s="27">
        <f t="shared" si="1"/>
        <v>17.389955800577074</v>
      </c>
      <c r="G30" s="35">
        <f t="shared" si="11"/>
        <v>-90</v>
      </c>
      <c r="H30" s="30">
        <f t="shared" si="2"/>
        <v>67.646310543711735</v>
      </c>
      <c r="I30" s="38">
        <v>-90</v>
      </c>
      <c r="J30" s="78">
        <f t="shared" si="3"/>
        <v>31.077385052031048</v>
      </c>
      <c r="K30" s="78">
        <f t="shared" si="4"/>
        <v>88.399298948348857</v>
      </c>
      <c r="L30" s="78">
        <f t="shared" si="5"/>
        <v>-7.2041861969516088</v>
      </c>
      <c r="M30" s="78">
        <f t="shared" si="6"/>
        <v>-64.131604893172309</v>
      </c>
      <c r="N30" s="31">
        <f t="shared" si="7"/>
        <v>5.4989094855115468</v>
      </c>
      <c r="O30" s="28">
        <f t="shared" si="12"/>
        <v>-65.732305944823452</v>
      </c>
      <c r="P30" s="121">
        <f t="shared" si="8"/>
        <v>-43.862491967089234</v>
      </c>
      <c r="Q30" s="31">
        <f t="shared" si="13"/>
        <v>-20.973626681000614</v>
      </c>
      <c r="R30" s="25">
        <f t="shared" si="14"/>
        <v>-155.73230594482345</v>
      </c>
    </row>
    <row r="31" spans="3:20">
      <c r="C31" s="21">
        <f t="shared" si="15"/>
        <v>23</v>
      </c>
      <c r="D31" s="52">
        <f t="shared" si="0"/>
        <v>1.6923076923076925</v>
      </c>
      <c r="E31" s="53">
        <f t="shared" si="10"/>
        <v>49.238826317067435</v>
      </c>
      <c r="F31" s="27">
        <f t="shared" si="1"/>
        <v>15.851494262115535</v>
      </c>
      <c r="G31" s="35">
        <f t="shared" si="11"/>
        <v>-90</v>
      </c>
      <c r="H31" s="30">
        <f t="shared" si="2"/>
        <v>66.107849005250202</v>
      </c>
      <c r="I31" s="38">
        <v>-90</v>
      </c>
      <c r="J31" s="78">
        <f t="shared" si="3"/>
        <v>32.614835607072152</v>
      </c>
      <c r="K31" s="78">
        <f t="shared" si="4"/>
        <v>88.659024245560516</v>
      </c>
      <c r="L31" s="78">
        <f t="shared" si="5"/>
        <v>-8.4887574746027497</v>
      </c>
      <c r="M31" s="78">
        <f t="shared" si="6"/>
        <v>-67.893819961805605</v>
      </c>
      <c r="N31" s="31">
        <f t="shared" si="7"/>
        <v>4.2133272244399791</v>
      </c>
      <c r="O31" s="28">
        <f t="shared" si="12"/>
        <v>-69.234795716245088</v>
      </c>
      <c r="P31" s="121">
        <f t="shared" si="8"/>
        <v>-43.862491967089234</v>
      </c>
      <c r="Q31" s="31">
        <f t="shared" si="13"/>
        <v>-23.797670480533718</v>
      </c>
      <c r="R31" s="25">
        <f t="shared" si="14"/>
        <v>-159.23479571624509</v>
      </c>
    </row>
    <row r="32" spans="3:20">
      <c r="C32" s="21">
        <f t="shared" si="15"/>
        <v>24</v>
      </c>
      <c r="D32" s="52">
        <f t="shared" si="0"/>
        <v>1.7692307692307694</v>
      </c>
      <c r="E32" s="53">
        <f t="shared" si="10"/>
        <v>58.780160722749173</v>
      </c>
      <c r="F32" s="27">
        <f t="shared" si="1"/>
        <v>14.313032723653995</v>
      </c>
      <c r="G32" s="35">
        <f t="shared" si="11"/>
        <v>-90</v>
      </c>
      <c r="H32" s="30">
        <f t="shared" si="2"/>
        <v>64.569387466788669</v>
      </c>
      <c r="I32" s="38">
        <v>-90</v>
      </c>
      <c r="J32" s="78">
        <f t="shared" si="3"/>
        <v>34.152587594059241</v>
      </c>
      <c r="K32" s="78">
        <f t="shared" si="4"/>
        <v>88.876633198096997</v>
      </c>
      <c r="L32" s="78">
        <f t="shared" si="5"/>
        <v>-9.8397647842629983</v>
      </c>
      <c r="M32" s="78">
        <f t="shared" si="6"/>
        <v>-71.209083071095819</v>
      </c>
      <c r="N32" s="31">
        <f t="shared" si="7"/>
        <v>2.8616103633052887</v>
      </c>
      <c r="O32" s="28">
        <f t="shared" si="12"/>
        <v>-72.332449872998822</v>
      </c>
      <c r="P32" s="121">
        <f t="shared" si="8"/>
        <v>-43.862491967089234</v>
      </c>
      <c r="Q32" s="31">
        <f t="shared" si="13"/>
        <v>-26.687848880129948</v>
      </c>
      <c r="R32" s="25">
        <f t="shared" si="14"/>
        <v>-162.33244987299884</v>
      </c>
    </row>
    <row r="33" spans="1:18">
      <c r="C33" s="21">
        <f t="shared" si="15"/>
        <v>25</v>
      </c>
      <c r="D33" s="52">
        <f t="shared" si="0"/>
        <v>1.8461538461538463</v>
      </c>
      <c r="E33" s="53">
        <f t="shared" si="10"/>
        <v>70.170382867038327</v>
      </c>
      <c r="F33" s="27">
        <f t="shared" si="1"/>
        <v>12.774571185192459</v>
      </c>
      <c r="G33" s="35">
        <f t="shared" si="11"/>
        <v>-90</v>
      </c>
      <c r="H33" s="30">
        <f t="shared" si="2"/>
        <v>63.030925928327122</v>
      </c>
      <c r="I33" s="38">
        <v>-90</v>
      </c>
      <c r="J33" s="78">
        <f t="shared" si="3"/>
        <v>35.69055116831187</v>
      </c>
      <c r="K33" s="78">
        <f t="shared" si="4"/>
        <v>89.058944564509488</v>
      </c>
      <c r="L33" s="78">
        <f t="shared" si="5"/>
        <v>-11.241684812891069</v>
      </c>
      <c r="M33" s="78">
        <f t="shared" si="6"/>
        <v>-74.091358849299525</v>
      </c>
      <c r="N33" s="31">
        <f t="shared" si="7"/>
        <v>1.4591923704683012</v>
      </c>
      <c r="O33" s="28">
        <f t="shared" ref="O33:O48" si="16">I33+K33+M33</f>
        <v>-75.032414284790036</v>
      </c>
      <c r="P33" s="121">
        <f t="shared" si="8"/>
        <v>-43.862491967089234</v>
      </c>
      <c r="Q33" s="31">
        <f t="shared" si="13"/>
        <v>-29.628728411428476</v>
      </c>
      <c r="R33" s="25">
        <f t="shared" ref="R33:R48" si="17">G33+O33</f>
        <v>-165.03241428479004</v>
      </c>
    </row>
    <row r="34" spans="1:18">
      <c r="C34" s="21">
        <f t="shared" si="15"/>
        <v>26</v>
      </c>
      <c r="D34" s="52">
        <f t="shared" si="0"/>
        <v>1.9230769230769231</v>
      </c>
      <c r="E34" s="53">
        <f t="shared" si="10"/>
        <v>83.767764006829239</v>
      </c>
      <c r="F34" s="27">
        <f t="shared" si="1"/>
        <v>11.23610964673092</v>
      </c>
      <c r="G34" s="35">
        <f t="shared" si="11"/>
        <v>-90</v>
      </c>
      <c r="H34" s="30">
        <f t="shared" si="2"/>
        <v>61.492464389865589</v>
      </c>
      <c r="I34" s="38">
        <v>-90</v>
      </c>
      <c r="J34" s="78">
        <f t="shared" si="3"/>
        <v>37.228663249288914</v>
      </c>
      <c r="K34" s="78">
        <f t="shared" si="4"/>
        <v>89.21167754321138</v>
      </c>
      <c r="L34" s="78">
        <f t="shared" si="5"/>
        <v>-12.681705295149349</v>
      </c>
      <c r="M34" s="78">
        <f t="shared" si="6"/>
        <v>-76.571715047622646</v>
      </c>
      <c r="N34" s="31">
        <f t="shared" si="7"/>
        <v>1.8822430725521144E-2</v>
      </c>
      <c r="O34" s="28">
        <f t="shared" si="16"/>
        <v>-77.360037504411267</v>
      </c>
      <c r="P34" s="121">
        <f t="shared" si="8"/>
        <v>-43.862491967089234</v>
      </c>
      <c r="Q34" s="31">
        <f t="shared" si="13"/>
        <v>-32.607559889632796</v>
      </c>
      <c r="R34" s="25">
        <f t="shared" si="17"/>
        <v>-167.36003750441125</v>
      </c>
    </row>
    <row r="35" spans="1:18">
      <c r="C35" s="21">
        <f t="shared" si="15"/>
        <v>27</v>
      </c>
      <c r="D35" s="52">
        <f t="shared" si="0"/>
        <v>2</v>
      </c>
      <c r="E35" s="53">
        <f t="shared" si="10"/>
        <v>100</v>
      </c>
      <c r="F35" s="27">
        <f t="shared" si="1"/>
        <v>9.6976481082693873</v>
      </c>
      <c r="G35" s="35">
        <f t="shared" si="11"/>
        <v>-90</v>
      </c>
      <c r="H35" s="30">
        <f t="shared" si="2"/>
        <v>59.954002851404056</v>
      </c>
      <c r="I35" s="38">
        <v>-90</v>
      </c>
      <c r="J35" s="78">
        <f t="shared" si="3"/>
        <v>38.766879555306026</v>
      </c>
      <c r="K35" s="78">
        <f t="shared" si="4"/>
        <v>89.339627259118728</v>
      </c>
      <c r="L35" s="78">
        <f t="shared" si="5"/>
        <v>-14.14973347970818</v>
      </c>
      <c r="M35" s="78">
        <f t="shared" si="6"/>
        <v>-78.690066363504997</v>
      </c>
      <c r="N35" s="31">
        <f t="shared" si="7"/>
        <v>-1.449450986277725</v>
      </c>
      <c r="O35" s="28">
        <f t="shared" si="16"/>
        <v>-79.350439104386268</v>
      </c>
      <c r="P35" s="121">
        <f t="shared" si="8"/>
        <v>-43.862491967089234</v>
      </c>
      <c r="Q35" s="31">
        <f t="shared" si="13"/>
        <v>-35.614294845097575</v>
      </c>
      <c r="R35" s="25">
        <f t="shared" si="17"/>
        <v>-169.35043910438628</v>
      </c>
    </row>
    <row r="36" spans="1:18">
      <c r="C36" s="21">
        <f t="shared" si="15"/>
        <v>28</v>
      </c>
      <c r="D36" s="52">
        <f t="shared" si="0"/>
        <v>2.0769230769230771</v>
      </c>
      <c r="E36" s="53">
        <f t="shared" si="10"/>
        <v>119.3776641714438</v>
      </c>
      <c r="F36" s="27">
        <f t="shared" si="1"/>
        <v>8.1591865698078383</v>
      </c>
      <c r="G36" s="35">
        <f t="shared" si="11"/>
        <v>-90</v>
      </c>
      <c r="H36" s="30">
        <f t="shared" si="2"/>
        <v>58.415541312942509</v>
      </c>
      <c r="I36" s="38">
        <v>-90</v>
      </c>
      <c r="J36" s="78">
        <f t="shared" si="3"/>
        <v>40.305169004954436</v>
      </c>
      <c r="K36" s="78">
        <f t="shared" si="4"/>
        <v>89.446812998330046</v>
      </c>
      <c r="L36" s="78">
        <f t="shared" si="5"/>
        <v>-15.638080685728628</v>
      </c>
      <c r="M36" s="78">
        <f t="shared" si="6"/>
        <v>-80.489246811718544</v>
      </c>
      <c r="N36" s="31">
        <f t="shared" si="7"/>
        <v>-2.9379702811113049</v>
      </c>
      <c r="O36" s="28">
        <f t="shared" si="16"/>
        <v>-81.042433813388499</v>
      </c>
      <c r="P36" s="121">
        <f t="shared" si="8"/>
        <v>-43.862491967089234</v>
      </c>
      <c r="Q36" s="31">
        <f t="shared" si="13"/>
        <v>-38.641275678392702</v>
      </c>
      <c r="R36" s="25">
        <f t="shared" si="17"/>
        <v>-171.0424338133885</v>
      </c>
    </row>
    <row r="37" spans="1:18">
      <c r="C37" s="21">
        <f t="shared" si="15"/>
        <v>29</v>
      </c>
      <c r="D37" s="52">
        <f t="shared" si="0"/>
        <v>2.1538461538461542</v>
      </c>
      <c r="E37" s="53">
        <f t="shared" si="10"/>
        <v>142.51026703029996</v>
      </c>
      <c r="F37" s="27">
        <f t="shared" si="1"/>
        <v>6.6207250313463017</v>
      </c>
      <c r="G37" s="35">
        <f t="shared" si="11"/>
        <v>-90</v>
      </c>
      <c r="H37" s="30">
        <f t="shared" si="2"/>
        <v>56.877079774480961</v>
      </c>
      <c r="I37" s="38">
        <v>-90</v>
      </c>
      <c r="J37" s="78">
        <f t="shared" si="3"/>
        <v>41.84350978396553</v>
      </c>
      <c r="K37" s="78">
        <f t="shared" si="4"/>
        <v>89.536603107040548</v>
      </c>
      <c r="L37" s="78">
        <f t="shared" si="5"/>
        <v>-17.141028320956355</v>
      </c>
      <c r="M37" s="78">
        <f t="shared" si="6"/>
        <v>-82.011240175103453</v>
      </c>
      <c r="N37" s="31">
        <f t="shared" si="7"/>
        <v>-4.4410386757894855</v>
      </c>
      <c r="O37" s="28">
        <f t="shared" si="16"/>
        <v>-82.474637068062904</v>
      </c>
      <c r="P37" s="121">
        <f t="shared" si="8"/>
        <v>-43.862491967089234</v>
      </c>
      <c r="Q37" s="31">
        <f t="shared" si="13"/>
        <v>-41.682805611532416</v>
      </c>
      <c r="R37" s="25">
        <f t="shared" si="17"/>
        <v>-172.47463706806292</v>
      </c>
    </row>
    <row r="38" spans="1:18">
      <c r="C38" s="21">
        <f t="shared" si="15"/>
        <v>30</v>
      </c>
      <c r="D38" s="52">
        <f t="shared" si="0"/>
        <v>2.2307692307692308</v>
      </c>
      <c r="E38" s="53">
        <f t="shared" si="10"/>
        <v>170.12542798525905</v>
      </c>
      <c r="F38" s="27">
        <f t="shared" si="1"/>
        <v>5.0822634928847643</v>
      </c>
      <c r="G38" s="35">
        <f t="shared" si="11"/>
        <v>-90</v>
      </c>
      <c r="H38" s="30">
        <f t="shared" si="2"/>
        <v>55.338618236019428</v>
      </c>
      <c r="I38" s="38">
        <v>-90</v>
      </c>
      <c r="J38" s="78">
        <f t="shared" si="3"/>
        <v>43.381886583053529</v>
      </c>
      <c r="K38" s="78">
        <f t="shared" si="4"/>
        <v>89.611820043754946</v>
      </c>
      <c r="L38" s="78">
        <f t="shared" si="5"/>
        <v>-18.654395085183243</v>
      </c>
      <c r="M38" s="78">
        <f t="shared" si="6"/>
        <v>-83.295063851214266</v>
      </c>
      <c r="N38" s="31">
        <f t="shared" si="7"/>
        <v>-5.9544901793899072</v>
      </c>
      <c r="O38" s="28">
        <f t="shared" si="16"/>
        <v>-83.68324380745932</v>
      </c>
      <c r="P38" s="121">
        <f t="shared" si="8"/>
        <v>-43.862491967089234</v>
      </c>
      <c r="Q38" s="31">
        <f t="shared" si="13"/>
        <v>-44.734718653594378</v>
      </c>
      <c r="R38" s="25">
        <f t="shared" si="17"/>
        <v>-173.68324380745932</v>
      </c>
    </row>
    <row r="39" spans="1:18">
      <c r="C39" s="21">
        <f t="shared" si="15"/>
        <v>31</v>
      </c>
      <c r="D39" s="52">
        <f t="shared" si="0"/>
        <v>2.3076923076923079</v>
      </c>
      <c r="E39" s="53">
        <f t="shared" si="10"/>
        <v>203.09176209047374</v>
      </c>
      <c r="F39" s="27">
        <f t="shared" si="1"/>
        <v>3.5438019544232269</v>
      </c>
      <c r="G39" s="35">
        <f t="shared" si="11"/>
        <v>-90</v>
      </c>
      <c r="H39" s="30">
        <f t="shared" si="2"/>
        <v>53.800156697557888</v>
      </c>
      <c r="I39" s="38">
        <v>-90</v>
      </c>
      <c r="J39" s="78">
        <f t="shared" si="3"/>
        <v>44.920288658585022</v>
      </c>
      <c r="K39" s="78">
        <f t="shared" si="4"/>
        <v>89.674828630450747</v>
      </c>
      <c r="L39" s="78">
        <f t="shared" si="5"/>
        <v>-20.175160547215913</v>
      </c>
      <c r="M39" s="78">
        <f t="shared" si="6"/>
        <v>-84.375779043733502</v>
      </c>
      <c r="N39" s="31">
        <f t="shared" si="7"/>
        <v>-7.4753151043526316</v>
      </c>
      <c r="O39" s="28">
        <f t="shared" si="16"/>
        <v>-84.700950413282754</v>
      </c>
      <c r="P39" s="121">
        <f t="shared" si="8"/>
        <v>-43.862491967089234</v>
      </c>
      <c r="Q39" s="31">
        <f t="shared" si="13"/>
        <v>-47.794005117018642</v>
      </c>
      <c r="R39" s="25">
        <f t="shared" si="17"/>
        <v>-174.70095041328275</v>
      </c>
    </row>
    <row r="40" spans="1:18">
      <c r="C40" s="21">
        <f t="shared" si="15"/>
        <v>32</v>
      </c>
      <c r="D40" s="52">
        <f t="shared" si="0"/>
        <v>2.3846153846153846</v>
      </c>
      <c r="E40" s="53">
        <f t="shared" si="10"/>
        <v>242.44620170823302</v>
      </c>
      <c r="F40" s="27">
        <f t="shared" si="1"/>
        <v>2.0053404159616899</v>
      </c>
      <c r="G40" s="35">
        <f t="shared" si="11"/>
        <v>-90</v>
      </c>
      <c r="H40" s="30">
        <f t="shared" si="2"/>
        <v>52.261695159096355</v>
      </c>
      <c r="I40" s="38">
        <v>-90</v>
      </c>
      <c r="J40" s="78">
        <f t="shared" si="3"/>
        <v>46.458708471194797</v>
      </c>
      <c r="K40" s="78">
        <f t="shared" si="4"/>
        <v>89.727610126374572</v>
      </c>
      <c r="L40" s="78">
        <f t="shared" si="5"/>
        <v>-21.701161489645177</v>
      </c>
      <c r="M40" s="78">
        <f t="shared" si="6"/>
        <v>-85.284202745405906</v>
      </c>
      <c r="N40" s="31">
        <f t="shared" si="7"/>
        <v>-9.0013577726336536</v>
      </c>
      <c r="O40" s="28">
        <f t="shared" si="16"/>
        <v>-85.556592619031335</v>
      </c>
      <c r="P40" s="121">
        <f t="shared" si="8"/>
        <v>-43.862491967089234</v>
      </c>
      <c r="Q40" s="31">
        <f t="shared" si="13"/>
        <v>-50.858509323761197</v>
      </c>
      <c r="R40" s="25">
        <f t="shared" si="17"/>
        <v>-175.55659261903133</v>
      </c>
    </row>
    <row r="41" spans="1:18">
      <c r="C41" s="21">
        <f t="shared" si="15"/>
        <v>33</v>
      </c>
      <c r="D41" s="52">
        <f t="shared" si="0"/>
        <v>2.4615384615384617</v>
      </c>
      <c r="E41" s="53">
        <f t="shared" si="10"/>
        <v>289.42661247167524</v>
      </c>
      <c r="F41" s="27">
        <f t="shared" si="1"/>
        <v>0.46687887750015211</v>
      </c>
      <c r="G41" s="35">
        <f t="shared" si="11"/>
        <v>-90</v>
      </c>
      <c r="H41" s="30">
        <f t="shared" si="2"/>
        <v>50.723233620634822</v>
      </c>
      <c r="I41" s="38">
        <v>-90</v>
      </c>
      <c r="J41" s="78">
        <f t="shared" si="3"/>
        <v>47.997140730227045</v>
      </c>
      <c r="K41" s="78">
        <f t="shared" si="4"/>
        <v>89.7718243648944</v>
      </c>
      <c r="L41" s="78">
        <f t="shared" si="5"/>
        <v>-23.230857985734406</v>
      </c>
      <c r="M41" s="78">
        <f t="shared" si="6"/>
        <v>-86.04702138466719</v>
      </c>
      <c r="N41" s="31">
        <f t="shared" si="7"/>
        <v>-10.531083548152154</v>
      </c>
      <c r="O41" s="28">
        <f t="shared" si="16"/>
        <v>-86.27519701977279</v>
      </c>
      <c r="P41" s="121">
        <f t="shared" si="8"/>
        <v>-43.862491967089234</v>
      </c>
      <c r="Q41" s="31">
        <f t="shared" si="13"/>
        <v>-53.926696637741237</v>
      </c>
      <c r="R41" s="25">
        <f t="shared" si="17"/>
        <v>-176.2751970197728</v>
      </c>
    </row>
    <row r="42" spans="1:18">
      <c r="A42" t="s">
        <v>216</v>
      </c>
      <c r="C42" s="21">
        <f t="shared" si="15"/>
        <v>34</v>
      </c>
      <c r="D42" s="52">
        <f t="shared" si="0"/>
        <v>2.5384615384615388</v>
      </c>
      <c r="E42" s="53">
        <f t="shared" si="10"/>
        <v>345.51072945922243</v>
      </c>
      <c r="F42" s="27">
        <f t="shared" si="1"/>
        <v>-1.0715826609613941</v>
      </c>
      <c r="G42" s="35">
        <f t="shared" si="11"/>
        <v>-90</v>
      </c>
      <c r="H42" s="30">
        <f t="shared" si="2"/>
        <v>49.184772082173268</v>
      </c>
      <c r="I42" s="38">
        <v>-90</v>
      </c>
      <c r="J42" s="78">
        <f t="shared" si="3"/>
        <v>49.535581723083091</v>
      </c>
      <c r="K42" s="78">
        <f t="shared" si="4"/>
        <v>89.808861855236884</v>
      </c>
      <c r="L42" s="78">
        <f t="shared" si="5"/>
        <v>-24.763158481653939</v>
      </c>
      <c r="M42" s="78">
        <f t="shared" si="6"/>
        <v>-86.687110920350094</v>
      </c>
      <c r="N42" s="31">
        <f t="shared" si="7"/>
        <v>-12.063404589677191</v>
      </c>
      <c r="O42" s="28">
        <f t="shared" si="16"/>
        <v>-86.878249065113209</v>
      </c>
      <c r="P42" s="121">
        <f t="shared" si="8"/>
        <v>-43.862491967089234</v>
      </c>
      <c r="Q42" s="31">
        <f t="shared" si="13"/>
        <v>-56.997479217727815</v>
      </c>
      <c r="R42" s="25">
        <f t="shared" si="17"/>
        <v>-176.87824906511321</v>
      </c>
    </row>
    <row r="43" spans="1:18">
      <c r="C43" s="21">
        <f t="shared" si="15"/>
        <v>35</v>
      </c>
      <c r="D43" s="52">
        <f t="shared" si="0"/>
        <v>2.6153846153846154</v>
      </c>
      <c r="E43" s="53">
        <f t="shared" si="10"/>
        <v>412.46263829013532</v>
      </c>
      <c r="F43" s="27">
        <f t="shared" si="1"/>
        <v>-2.6100441994229233</v>
      </c>
      <c r="G43" s="35">
        <f t="shared" si="11"/>
        <v>-90</v>
      </c>
      <c r="H43" s="30">
        <f t="shared" si="2"/>
        <v>47.646310543711749</v>
      </c>
      <c r="I43" s="38">
        <v>-90</v>
      </c>
      <c r="J43" s="78">
        <f t="shared" si="3"/>
        <v>51.074028844556551</v>
      </c>
      <c r="K43" s="78">
        <f t="shared" si="4"/>
        <v>89.839887456981046</v>
      </c>
      <c r="L43" s="78">
        <f t="shared" si="5"/>
        <v>-26.297291568702565</v>
      </c>
      <c r="M43" s="78">
        <f t="shared" si="6"/>
        <v>-87.223944218018161</v>
      </c>
      <c r="N43" s="31">
        <f t="shared" si="7"/>
        <v>-13.597552093713887</v>
      </c>
      <c r="O43" s="28">
        <f t="shared" si="16"/>
        <v>-87.384056761037115</v>
      </c>
      <c r="P43" s="121">
        <f t="shared" si="8"/>
        <v>-43.862491967089234</v>
      </c>
      <c r="Q43" s="31">
        <f t="shared" si="13"/>
        <v>-60.070088260226044</v>
      </c>
      <c r="R43" s="25">
        <f t="shared" si="17"/>
        <v>-177.38405676103713</v>
      </c>
    </row>
    <row r="44" spans="1:18">
      <c r="C44" s="21">
        <f t="shared" si="15"/>
        <v>36</v>
      </c>
      <c r="D44" s="52">
        <f t="shared" si="0"/>
        <v>2.6923076923076925</v>
      </c>
      <c r="E44" s="53">
        <f t="shared" si="10"/>
        <v>492.38826317067446</v>
      </c>
      <c r="F44" s="27">
        <f t="shared" si="1"/>
        <v>-4.1485057378844674</v>
      </c>
      <c r="G44" s="35">
        <f t="shared" si="11"/>
        <v>-90</v>
      </c>
      <c r="H44" s="30">
        <f t="shared" si="2"/>
        <v>46.107849005250195</v>
      </c>
      <c r="I44" s="38">
        <v>-90</v>
      </c>
      <c r="J44" s="78">
        <f t="shared" si="3"/>
        <v>52.612480266533801</v>
      </c>
      <c r="K44" s="78">
        <f t="shared" si="4"/>
        <v>89.865876982860769</v>
      </c>
      <c r="L44" s="78">
        <f t="shared" si="5"/>
        <v>-27.83271323851671</v>
      </c>
      <c r="M44" s="78">
        <f t="shared" si="6"/>
        <v>-87.674017152159053</v>
      </c>
      <c r="N44" s="31">
        <f t="shared" si="7"/>
        <v>-15.132983880012347</v>
      </c>
      <c r="O44" s="28">
        <f t="shared" si="16"/>
        <v>-87.808140169298284</v>
      </c>
      <c r="P44" s="121">
        <f t="shared" si="8"/>
        <v>-43.862491967089234</v>
      </c>
      <c r="Q44" s="31">
        <f t="shared" si="13"/>
        <v>-63.143981584986051</v>
      </c>
      <c r="R44" s="25">
        <f t="shared" si="17"/>
        <v>-177.80814016929827</v>
      </c>
    </row>
    <row r="45" spans="1:18">
      <c r="C45" s="21">
        <f t="shared" si="15"/>
        <v>37</v>
      </c>
      <c r="D45" s="52">
        <f t="shared" si="0"/>
        <v>2.7692307692307692</v>
      </c>
      <c r="E45" s="53">
        <f t="shared" si="10"/>
        <v>587.80160722749133</v>
      </c>
      <c r="F45" s="27">
        <f t="shared" si="1"/>
        <v>-5.6869672763459977</v>
      </c>
      <c r="G45" s="35">
        <f t="shared" si="11"/>
        <v>-90</v>
      </c>
      <c r="H45" s="30">
        <f t="shared" si="2"/>
        <v>44.569387466788669</v>
      </c>
      <c r="I45" s="38">
        <v>-90</v>
      </c>
      <c r="J45" s="78">
        <f t="shared" si="3"/>
        <v>54.15093470620549</v>
      </c>
      <c r="K45" s="78">
        <f t="shared" si="4"/>
        <v>89.887647870492927</v>
      </c>
      <c r="L45" s="78">
        <f t="shared" si="5"/>
        <v>-29.369040418418347</v>
      </c>
      <c r="M45" s="78">
        <f t="shared" si="6"/>
        <v>-88.051256688657759</v>
      </c>
      <c r="N45" s="31">
        <f t="shared" si="7"/>
        <v>-16.669318158703817</v>
      </c>
      <c r="O45" s="28">
        <f t="shared" si="16"/>
        <v>-88.163608818164832</v>
      </c>
      <c r="P45" s="121">
        <f t="shared" si="8"/>
        <v>-43.862491967089234</v>
      </c>
      <c r="Q45" s="31">
        <f t="shared" si="13"/>
        <v>-66.21877740213904</v>
      </c>
      <c r="R45" s="25">
        <f t="shared" si="17"/>
        <v>-178.16360881816485</v>
      </c>
    </row>
    <row r="46" spans="1:18">
      <c r="C46" s="21">
        <f t="shared" si="15"/>
        <v>38</v>
      </c>
      <c r="D46" s="52">
        <f t="shared" si="0"/>
        <v>2.8461538461538463</v>
      </c>
      <c r="E46" s="53">
        <f t="shared" si="10"/>
        <v>701.70382867038347</v>
      </c>
      <c r="F46" s="27">
        <f t="shared" si="1"/>
        <v>-7.2254288148075432</v>
      </c>
      <c r="G46" s="35">
        <f t="shared" si="11"/>
        <v>-90</v>
      </c>
      <c r="H46" s="30">
        <f t="shared" si="2"/>
        <v>43.030925928327122</v>
      </c>
      <c r="I46" s="38">
        <v>-90</v>
      </c>
      <c r="J46" s="78">
        <f t="shared" si="3"/>
        <v>55.689391263412105</v>
      </c>
      <c r="K46" s="78">
        <f t="shared" si="4"/>
        <v>89.905884881499361</v>
      </c>
      <c r="L46" s="78">
        <f t="shared" si="5"/>
        <v>-30.906003642794794</v>
      </c>
      <c r="M46" s="78">
        <f t="shared" si="6"/>
        <v>-88.367393322812248</v>
      </c>
      <c r="N46" s="31">
        <f t="shared" si="7"/>
        <v>-18.206286364335199</v>
      </c>
      <c r="O46" s="28">
        <f t="shared" si="16"/>
        <v>-88.461508441312887</v>
      </c>
      <c r="P46" s="121">
        <f t="shared" si="8"/>
        <v>-43.862491967089234</v>
      </c>
      <c r="Q46" s="31">
        <f t="shared" si="13"/>
        <v>-69.294207146231969</v>
      </c>
      <c r="R46" s="25">
        <f t="shared" si="17"/>
        <v>-178.4615084413129</v>
      </c>
    </row>
    <row r="47" spans="1:18">
      <c r="C47" s="21">
        <f t="shared" si="15"/>
        <v>39</v>
      </c>
      <c r="D47" s="52">
        <f t="shared" si="0"/>
        <v>2.9230769230769234</v>
      </c>
      <c r="E47" s="53">
        <f t="shared" si="10"/>
        <v>837.67764006829327</v>
      </c>
      <c r="F47" s="27">
        <f t="shared" si="1"/>
        <v>-8.7638903532690886</v>
      </c>
      <c r="G47" s="35">
        <f t="shared" si="11"/>
        <v>-90</v>
      </c>
      <c r="H47" s="30">
        <f t="shared" si="2"/>
        <v>41.492464389865582</v>
      </c>
      <c r="I47" s="38">
        <v>-90</v>
      </c>
      <c r="J47" s="78">
        <f t="shared" si="3"/>
        <v>57.227849306504581</v>
      </c>
      <c r="K47" s="78">
        <f t="shared" si="4"/>
        <v>89.921161632672863</v>
      </c>
      <c r="L47" s="78">
        <f t="shared" si="5"/>
        <v>-32.443413499817268</v>
      </c>
      <c r="M47" s="78">
        <f t="shared" si="6"/>
        <v>-88.632291269259525</v>
      </c>
      <c r="N47" s="31">
        <f t="shared" si="7"/>
        <v>-19.743699716726724</v>
      </c>
      <c r="O47" s="28">
        <f t="shared" si="16"/>
        <v>-88.711129636586662</v>
      </c>
      <c r="P47" s="121">
        <f t="shared" si="8"/>
        <v>-43.862491967089234</v>
      </c>
      <c r="Q47" s="31">
        <f t="shared" si="13"/>
        <v>-72.370082037085041</v>
      </c>
      <c r="R47" s="25">
        <f t="shared" si="17"/>
        <v>-178.71112963658666</v>
      </c>
    </row>
    <row r="48" spans="1:18" ht="15.75" thickBot="1">
      <c r="C48" s="21">
        <f t="shared" si="15"/>
        <v>40</v>
      </c>
      <c r="D48" s="52">
        <f t="shared" si="0"/>
        <v>3</v>
      </c>
      <c r="E48" s="55">
        <f t="shared" si="10"/>
        <v>1000</v>
      </c>
      <c r="F48" s="24">
        <f t="shared" si="1"/>
        <v>-10.302351891730613</v>
      </c>
      <c r="G48" s="36">
        <f t="shared" si="11"/>
        <v>-90</v>
      </c>
      <c r="H48" s="32">
        <f t="shared" si="2"/>
        <v>39.954002851404056</v>
      </c>
      <c r="I48" s="39">
        <v>-90</v>
      </c>
      <c r="J48" s="99">
        <f t="shared" si="3"/>
        <v>58.766308392250565</v>
      </c>
      <c r="K48" s="99">
        <f t="shared" si="4"/>
        <v>89.933958634261913</v>
      </c>
      <c r="L48" s="99">
        <f t="shared" si="5"/>
        <v>-33.981136917305022</v>
      </c>
      <c r="M48" s="99">
        <f t="shared" si="6"/>
        <v>-88.854235849196598</v>
      </c>
      <c r="N48" s="33">
        <f t="shared" si="7"/>
        <v>-21.281425586930027</v>
      </c>
      <c r="O48" s="26">
        <f t="shared" si="16"/>
        <v>-88.920277214934686</v>
      </c>
      <c r="P48" s="127">
        <f t="shared" si="8"/>
        <v>-43.862491967089234</v>
      </c>
      <c r="Q48" s="33">
        <f t="shared" si="13"/>
        <v>-75.446269445749877</v>
      </c>
      <c r="R48" s="26">
        <f t="shared" si="17"/>
        <v>-178.92027721493469</v>
      </c>
    </row>
    <row r="49" spans="1:19" ht="15.75" thickBot="1">
      <c r="C49" s="40"/>
      <c r="D49" s="41"/>
      <c r="E49" s="43"/>
      <c r="F49" s="43"/>
      <c r="G49" s="44"/>
      <c r="H49" s="45"/>
      <c r="I49" s="46"/>
      <c r="J49" s="45"/>
      <c r="K49" s="45"/>
      <c r="L49" s="45"/>
      <c r="M49" s="45"/>
      <c r="N49" s="47"/>
      <c r="O49" s="47"/>
      <c r="P49" s="47"/>
      <c r="Q49" s="47"/>
      <c r="R49" s="47"/>
      <c r="S49" s="3"/>
    </row>
    <row r="50" spans="1:19" ht="57" customHeight="1" thickBot="1">
      <c r="A50" s="183" t="s">
        <v>218</v>
      </c>
      <c r="B50" s="184"/>
      <c r="C50" s="184"/>
      <c r="D50" s="184"/>
      <c r="E50" s="184"/>
      <c r="F50" s="184"/>
      <c r="G50" s="184"/>
      <c r="H50" s="184"/>
      <c r="I50" s="184"/>
      <c r="J50" s="184"/>
      <c r="K50" s="184"/>
      <c r="L50" s="184"/>
      <c r="M50" s="184"/>
      <c r="N50" s="184"/>
      <c r="O50" s="184"/>
      <c r="P50" s="184"/>
      <c r="Q50" s="184"/>
      <c r="R50" s="185"/>
    </row>
    <row r="51" spans="1:19">
      <c r="C51" s="40"/>
      <c r="D51" s="41"/>
      <c r="E51" s="42"/>
      <c r="F51" s="3"/>
      <c r="G51" s="3"/>
    </row>
    <row r="52" spans="1:19">
      <c r="C52" s="40"/>
      <c r="D52" s="41"/>
      <c r="E52" s="42"/>
      <c r="F52" s="3"/>
      <c r="G52" s="3"/>
    </row>
    <row r="53" spans="1:19">
      <c r="C53" s="40"/>
      <c r="D53" s="41"/>
      <c r="E53" s="42"/>
      <c r="F53" s="3"/>
      <c r="G53" s="3"/>
    </row>
    <row r="54" spans="1:19">
      <c r="C54" s="40"/>
      <c r="D54" s="41"/>
      <c r="E54" s="42"/>
      <c r="F54" s="3"/>
      <c r="G54" s="3"/>
    </row>
    <row r="55" spans="1:19">
      <c r="C55" s="40"/>
      <c r="D55" s="41"/>
      <c r="E55" s="42"/>
      <c r="F55" s="3"/>
      <c r="G55" s="3"/>
    </row>
    <row r="56" spans="1:19">
      <c r="C56" s="40"/>
      <c r="D56" s="41"/>
      <c r="E56" s="42"/>
      <c r="F56" s="3"/>
      <c r="G56" s="3"/>
    </row>
    <row r="57" spans="1:19">
      <c r="C57" s="40"/>
      <c r="D57" s="41"/>
      <c r="E57" s="42"/>
      <c r="F57" s="3"/>
      <c r="G57" s="3"/>
    </row>
    <row r="58" spans="1:19">
      <c r="C58" s="40"/>
      <c r="D58" s="41"/>
      <c r="E58" s="42"/>
      <c r="F58" s="3"/>
      <c r="G58" s="3"/>
    </row>
    <row r="59" spans="1:19">
      <c r="C59" s="40"/>
      <c r="D59" s="41"/>
      <c r="E59" s="42"/>
      <c r="F59" s="3"/>
      <c r="G59" s="3"/>
    </row>
    <row r="60" spans="1:19">
      <c r="C60" s="40"/>
      <c r="D60" s="41"/>
      <c r="E60" s="42"/>
      <c r="F60" s="3"/>
      <c r="G60" s="3"/>
    </row>
    <row r="61" spans="1:19">
      <c r="C61" s="40"/>
      <c r="D61" s="41"/>
      <c r="E61" s="42"/>
      <c r="F61" s="3"/>
      <c r="G61" s="3"/>
    </row>
    <row r="62" spans="1:19">
      <c r="C62" s="40"/>
      <c r="D62" s="41"/>
      <c r="E62" s="42"/>
      <c r="F62" s="3"/>
      <c r="G62" s="3"/>
    </row>
    <row r="63" spans="1:19">
      <c r="C63" s="40"/>
      <c r="D63" s="41"/>
      <c r="E63" s="42"/>
      <c r="F63" s="3"/>
      <c r="G63" s="3"/>
    </row>
    <row r="64" spans="1:19">
      <c r="C64" s="3"/>
      <c r="D64" s="41"/>
      <c r="E64" s="42"/>
      <c r="F64" s="3"/>
      <c r="G64" s="3"/>
    </row>
    <row r="65" spans="3:7">
      <c r="C65" s="3"/>
      <c r="D65" s="41"/>
      <c r="E65" s="42"/>
      <c r="F65" s="3"/>
      <c r="G65" s="3"/>
    </row>
    <row r="66" spans="3:7">
      <c r="C66" s="3"/>
      <c r="D66" s="41"/>
      <c r="E66" s="42"/>
      <c r="F66" s="3"/>
      <c r="G66" s="3"/>
    </row>
    <row r="67" spans="3:7">
      <c r="C67" s="3"/>
      <c r="D67" s="41"/>
      <c r="E67" s="42"/>
      <c r="F67" s="3"/>
      <c r="G67" s="3"/>
    </row>
    <row r="68" spans="3:7">
      <c r="C68" s="3"/>
      <c r="D68" s="41"/>
      <c r="E68" s="42"/>
      <c r="F68" s="3"/>
      <c r="G68" s="3"/>
    </row>
    <row r="69" spans="3:7">
      <c r="C69" s="3"/>
      <c r="D69" s="41"/>
      <c r="E69" s="42"/>
      <c r="F69" s="3"/>
      <c r="G69" s="3"/>
    </row>
    <row r="70" spans="3:7">
      <c r="C70" s="3"/>
      <c r="D70" s="41"/>
      <c r="E70" s="42"/>
      <c r="F70" s="3"/>
      <c r="G70" s="3"/>
    </row>
    <row r="71" spans="3:7">
      <c r="C71" s="3"/>
      <c r="D71" s="41"/>
      <c r="E71" s="42"/>
      <c r="F71" s="3"/>
      <c r="G71" s="3"/>
    </row>
    <row r="72" spans="3:7">
      <c r="C72" s="3"/>
      <c r="D72" s="41"/>
      <c r="E72" s="42"/>
      <c r="F72" s="3"/>
      <c r="G72" s="3"/>
    </row>
    <row r="73" spans="3:7">
      <c r="C73" s="3"/>
      <c r="D73" s="41"/>
      <c r="E73" s="42"/>
      <c r="F73" s="3"/>
      <c r="G73" s="3"/>
    </row>
    <row r="74" spans="3:7">
      <c r="C74" s="3"/>
      <c r="D74" s="41"/>
      <c r="E74" s="42"/>
      <c r="F74" s="3"/>
      <c r="G74" s="3"/>
    </row>
    <row r="75" spans="3:7">
      <c r="C75" s="3"/>
      <c r="D75" s="41"/>
      <c r="E75" s="42"/>
      <c r="F75" s="3"/>
      <c r="G75" s="3"/>
    </row>
    <row r="76" spans="3:7">
      <c r="C76" s="3"/>
      <c r="D76" s="41"/>
      <c r="E76" s="42"/>
      <c r="F76" s="3"/>
      <c r="G76" s="3"/>
    </row>
    <row r="77" spans="3:7">
      <c r="C77" s="3"/>
      <c r="D77" s="41"/>
      <c r="E77" s="42"/>
      <c r="F77" s="3"/>
      <c r="G77" s="3"/>
    </row>
    <row r="78" spans="3:7">
      <c r="C78" s="3"/>
      <c r="D78" s="41"/>
      <c r="E78" s="42"/>
      <c r="F78" s="3"/>
      <c r="G78" s="3"/>
    </row>
    <row r="79" spans="3:7">
      <c r="C79" s="3"/>
      <c r="D79" s="41"/>
      <c r="E79" s="42"/>
      <c r="F79" s="3"/>
      <c r="G79" s="3"/>
    </row>
    <row r="80" spans="3:7">
      <c r="C80" s="3"/>
      <c r="D80" s="41"/>
      <c r="E80" s="42"/>
      <c r="F80" s="3"/>
      <c r="G80" s="3"/>
    </row>
    <row r="81" spans="3:7">
      <c r="C81" s="3"/>
      <c r="D81" s="41"/>
      <c r="E81" s="42"/>
      <c r="F81" s="3"/>
      <c r="G81" s="3"/>
    </row>
    <row r="82" spans="3:7">
      <c r="C82" s="3"/>
      <c r="D82" s="41"/>
      <c r="E82" s="42"/>
      <c r="F82" s="3"/>
      <c r="G82" s="3"/>
    </row>
    <row r="83" spans="3:7">
      <c r="C83" s="3"/>
      <c r="D83" s="41"/>
      <c r="E83" s="42"/>
      <c r="F83" s="3"/>
      <c r="G83" s="3"/>
    </row>
    <row r="84" spans="3:7">
      <c r="C84" s="3"/>
      <c r="D84" s="41"/>
      <c r="E84" s="42"/>
      <c r="F84" s="3"/>
      <c r="G84" s="3"/>
    </row>
    <row r="85" spans="3:7">
      <c r="C85" s="3"/>
      <c r="D85" s="41"/>
      <c r="E85" s="42"/>
      <c r="F85" s="3"/>
      <c r="G85" s="3"/>
    </row>
    <row r="86" spans="3:7">
      <c r="C86" s="3"/>
      <c r="D86" s="41"/>
      <c r="E86" s="42"/>
      <c r="F86" s="3"/>
      <c r="G86" s="3"/>
    </row>
    <row r="87" spans="3:7">
      <c r="C87" s="3"/>
      <c r="D87" s="41"/>
      <c r="E87" s="42"/>
      <c r="F87" s="3"/>
      <c r="G87" s="3"/>
    </row>
    <row r="88" spans="3:7">
      <c r="C88" s="3"/>
      <c r="D88" s="41"/>
      <c r="E88" s="42"/>
      <c r="F88" s="3"/>
      <c r="G88" s="3"/>
    </row>
    <row r="89" spans="3:7">
      <c r="C89" s="3"/>
      <c r="D89" s="41"/>
      <c r="E89" s="42"/>
      <c r="F89" s="3"/>
      <c r="G89" s="3"/>
    </row>
    <row r="90" spans="3:7">
      <c r="C90" s="3"/>
      <c r="D90" s="41"/>
      <c r="E90" s="42"/>
      <c r="F90" s="3"/>
      <c r="G90" s="3"/>
    </row>
    <row r="91" spans="3:7">
      <c r="C91" s="3"/>
      <c r="D91" s="41"/>
      <c r="E91" s="42"/>
      <c r="F91" s="3"/>
      <c r="G91" s="3"/>
    </row>
    <row r="92" spans="3:7">
      <c r="C92" s="3"/>
      <c r="D92" s="41"/>
      <c r="E92" s="42"/>
      <c r="F92" s="3"/>
      <c r="G92" s="3"/>
    </row>
    <row r="93" spans="3:7">
      <c r="C93" s="3"/>
      <c r="D93" s="41"/>
      <c r="E93" s="42"/>
      <c r="F93" s="3"/>
      <c r="G93" s="3"/>
    </row>
    <row r="94" spans="3:7">
      <c r="C94" s="3"/>
      <c r="D94" s="41"/>
      <c r="E94" s="42"/>
      <c r="F94" s="3"/>
      <c r="G94" s="3"/>
    </row>
    <row r="95" spans="3:7">
      <c r="C95" s="3"/>
      <c r="D95" s="41"/>
      <c r="E95" s="42"/>
      <c r="F95" s="3"/>
      <c r="G95" s="3"/>
    </row>
    <row r="96" spans="3:7">
      <c r="C96" s="3"/>
      <c r="D96" s="41"/>
      <c r="E96" s="42"/>
      <c r="F96" s="3"/>
      <c r="G96" s="3"/>
    </row>
    <row r="97" spans="3:7">
      <c r="C97" s="3"/>
      <c r="D97" s="41"/>
      <c r="E97" s="42"/>
      <c r="F97" s="3"/>
      <c r="G97" s="3"/>
    </row>
    <row r="98" spans="3:7">
      <c r="C98" s="3"/>
      <c r="D98" s="41"/>
      <c r="E98" s="42"/>
      <c r="F98" s="3"/>
      <c r="G98" s="3"/>
    </row>
    <row r="99" spans="3:7">
      <c r="C99" s="3"/>
      <c r="D99" s="41"/>
      <c r="E99" s="42"/>
      <c r="F99" s="3"/>
      <c r="G99" s="3"/>
    </row>
    <row r="100" spans="3:7">
      <c r="C100" s="3"/>
      <c r="D100" s="41"/>
      <c r="E100" s="42"/>
      <c r="F100" s="3"/>
      <c r="G100" s="3"/>
    </row>
    <row r="101" spans="3:7">
      <c r="C101" s="3"/>
      <c r="D101" s="41"/>
      <c r="E101" s="42"/>
      <c r="F101" s="3"/>
      <c r="G101" s="3"/>
    </row>
    <row r="102" spans="3:7">
      <c r="C102" s="3"/>
      <c r="D102" s="41"/>
      <c r="E102" s="42"/>
      <c r="F102" s="3"/>
      <c r="G102" s="3"/>
    </row>
    <row r="103" spans="3:7">
      <c r="C103" s="3"/>
      <c r="D103" s="41"/>
      <c r="E103" s="42"/>
      <c r="F103" s="3"/>
      <c r="G103" s="3"/>
    </row>
    <row r="104" spans="3:7">
      <c r="C104" s="3"/>
      <c r="D104" s="41"/>
      <c r="E104" s="42"/>
      <c r="F104" s="3"/>
      <c r="G104" s="3"/>
    </row>
    <row r="105" spans="3:7">
      <c r="C105" s="3"/>
      <c r="D105" s="41"/>
      <c r="E105" s="42"/>
      <c r="F105" s="3"/>
      <c r="G105" s="3"/>
    </row>
    <row r="106" spans="3:7">
      <c r="C106" s="3"/>
      <c r="D106" s="41"/>
      <c r="E106" s="42"/>
      <c r="F106" s="3"/>
      <c r="G106" s="3"/>
    </row>
    <row r="107" spans="3:7">
      <c r="C107" s="3"/>
      <c r="D107" s="41"/>
      <c r="E107" s="42"/>
      <c r="F107" s="3"/>
      <c r="G107" s="3"/>
    </row>
    <row r="108" spans="3:7">
      <c r="C108" s="3"/>
      <c r="D108" s="41"/>
      <c r="E108" s="42"/>
      <c r="F108" s="3"/>
      <c r="G108" s="3"/>
    </row>
    <row r="109" spans="3:7">
      <c r="C109" s="3"/>
      <c r="D109" s="41"/>
      <c r="E109" s="42"/>
      <c r="F109" s="3"/>
      <c r="G109" s="3"/>
    </row>
    <row r="110" spans="3:7">
      <c r="C110" s="3"/>
      <c r="D110" s="41"/>
      <c r="E110" s="42"/>
      <c r="F110" s="3"/>
      <c r="G110" s="3"/>
    </row>
    <row r="111" spans="3:7">
      <c r="C111" s="3"/>
      <c r="D111" s="41"/>
      <c r="E111" s="42"/>
      <c r="F111" s="3"/>
      <c r="G111" s="3"/>
    </row>
    <row r="112" spans="3:7">
      <c r="C112" s="3"/>
      <c r="D112" s="41"/>
      <c r="E112" s="42"/>
      <c r="F112" s="3"/>
      <c r="G112" s="3"/>
    </row>
    <row r="113" spans="3:7">
      <c r="C113" s="3"/>
      <c r="D113" s="41"/>
      <c r="E113" s="42"/>
      <c r="F113" s="3"/>
      <c r="G113" s="3"/>
    </row>
    <row r="114" spans="3:7">
      <c r="C114" s="3"/>
      <c r="D114" s="41"/>
      <c r="E114" s="42"/>
      <c r="F114" s="3"/>
      <c r="G114" s="3"/>
    </row>
    <row r="115" spans="3:7">
      <c r="C115" s="3"/>
      <c r="D115" s="41"/>
      <c r="E115" s="42"/>
      <c r="F115" s="3"/>
      <c r="G115" s="3"/>
    </row>
    <row r="116" spans="3:7">
      <c r="C116" s="3"/>
      <c r="D116" s="41"/>
      <c r="E116" s="42"/>
      <c r="F116" s="3"/>
      <c r="G116" s="3"/>
    </row>
    <row r="117" spans="3:7">
      <c r="C117" s="3"/>
      <c r="D117" s="41"/>
      <c r="E117" s="42"/>
      <c r="F117" s="3"/>
      <c r="G117" s="3"/>
    </row>
    <row r="118" spans="3:7">
      <c r="C118" s="3"/>
      <c r="D118" s="41"/>
      <c r="E118" s="42"/>
      <c r="F118" s="3"/>
      <c r="G118" s="3"/>
    </row>
    <row r="119" spans="3:7">
      <c r="C119" s="3"/>
      <c r="D119" s="41"/>
      <c r="E119" s="42"/>
      <c r="F119" s="3"/>
      <c r="G119" s="3"/>
    </row>
    <row r="120" spans="3:7">
      <c r="C120" s="3"/>
      <c r="D120" s="41"/>
      <c r="E120" s="42"/>
      <c r="F120" s="3"/>
      <c r="G120" s="3"/>
    </row>
    <row r="121" spans="3:7">
      <c r="C121" s="3"/>
      <c r="D121" s="41"/>
      <c r="E121" s="42"/>
      <c r="F121" s="3"/>
      <c r="G121" s="3"/>
    </row>
    <row r="122" spans="3:7">
      <c r="C122" s="3"/>
      <c r="D122" s="41"/>
      <c r="E122" s="42"/>
      <c r="F122" s="3"/>
      <c r="G122" s="3"/>
    </row>
    <row r="123" spans="3:7">
      <c r="C123" s="3"/>
      <c r="D123" s="41"/>
      <c r="E123" s="42"/>
      <c r="F123" s="3"/>
      <c r="G123" s="3"/>
    </row>
    <row r="124" spans="3:7">
      <c r="C124" s="3"/>
      <c r="D124" s="41"/>
      <c r="E124" s="42"/>
      <c r="F124" s="3"/>
      <c r="G124" s="3"/>
    </row>
    <row r="125" spans="3:7">
      <c r="C125" s="3"/>
      <c r="D125" s="41"/>
      <c r="E125" s="42"/>
      <c r="F125" s="3"/>
      <c r="G125" s="3"/>
    </row>
    <row r="126" spans="3:7">
      <c r="C126" s="3"/>
      <c r="D126" s="41"/>
      <c r="E126" s="42"/>
      <c r="F126" s="3"/>
      <c r="G126" s="3"/>
    </row>
    <row r="127" spans="3:7">
      <c r="C127" s="3"/>
      <c r="D127" s="41"/>
      <c r="E127" s="42"/>
      <c r="F127" s="3"/>
      <c r="G127" s="3"/>
    </row>
    <row r="128" spans="3:7">
      <c r="C128" s="3"/>
      <c r="D128" s="41"/>
      <c r="E128" s="42"/>
      <c r="F128" s="3"/>
      <c r="G128" s="3"/>
    </row>
    <row r="129" spans="3:7">
      <c r="C129" s="3"/>
      <c r="D129" s="41"/>
      <c r="E129" s="42"/>
      <c r="F129" s="3"/>
      <c r="G129" s="3"/>
    </row>
    <row r="130" spans="3:7">
      <c r="C130" s="3"/>
      <c r="D130" s="41"/>
      <c r="E130" s="42"/>
      <c r="F130" s="3"/>
      <c r="G130" s="3"/>
    </row>
    <row r="131" spans="3:7">
      <c r="C131" s="3"/>
      <c r="D131" s="41"/>
      <c r="E131" s="42"/>
      <c r="F131" s="3"/>
      <c r="G131" s="3"/>
    </row>
    <row r="132" spans="3:7">
      <c r="C132" s="3"/>
      <c r="D132" s="41"/>
      <c r="E132" s="42"/>
      <c r="F132" s="3"/>
      <c r="G132" s="3"/>
    </row>
    <row r="133" spans="3:7">
      <c r="C133" s="3"/>
      <c r="D133" s="41"/>
      <c r="E133" s="42"/>
      <c r="F133" s="3"/>
      <c r="G133" s="3"/>
    </row>
    <row r="134" spans="3:7">
      <c r="C134" s="3"/>
      <c r="D134" s="41"/>
      <c r="E134" s="42"/>
      <c r="F134" s="3"/>
      <c r="G134" s="3"/>
    </row>
    <row r="135" spans="3:7">
      <c r="C135" s="3"/>
      <c r="D135" s="41"/>
      <c r="E135" s="42"/>
      <c r="F135" s="3"/>
      <c r="G135" s="3"/>
    </row>
    <row r="136" spans="3:7">
      <c r="C136" s="3"/>
      <c r="D136" s="41"/>
      <c r="E136" s="42"/>
      <c r="F136" s="3"/>
      <c r="G136" s="3"/>
    </row>
    <row r="137" spans="3:7">
      <c r="C137" s="3"/>
      <c r="D137" s="41"/>
      <c r="E137" s="42"/>
      <c r="F137" s="3"/>
      <c r="G137" s="3"/>
    </row>
    <row r="138" spans="3:7">
      <c r="C138" s="3"/>
      <c r="D138" s="41"/>
      <c r="E138" s="42"/>
      <c r="F138" s="3"/>
      <c r="G138" s="3"/>
    </row>
    <row r="139" spans="3:7">
      <c r="C139" s="3"/>
      <c r="D139" s="41"/>
      <c r="E139" s="42"/>
      <c r="F139" s="3"/>
      <c r="G139" s="3"/>
    </row>
    <row r="140" spans="3:7">
      <c r="C140" s="3"/>
      <c r="D140" s="41"/>
      <c r="E140" s="42"/>
      <c r="F140" s="3"/>
      <c r="G140" s="3"/>
    </row>
    <row r="141" spans="3:7">
      <c r="C141" s="3"/>
      <c r="D141" s="41"/>
      <c r="E141" s="42"/>
      <c r="F141" s="3"/>
      <c r="G141" s="3"/>
    </row>
    <row r="142" spans="3:7">
      <c r="C142" s="3"/>
      <c r="D142" s="41"/>
      <c r="E142" s="42"/>
      <c r="F142" s="3"/>
      <c r="G142" s="3"/>
    </row>
    <row r="143" spans="3:7">
      <c r="C143" s="3"/>
      <c r="D143" s="41"/>
      <c r="E143" s="42"/>
      <c r="F143" s="3"/>
      <c r="G143" s="3"/>
    </row>
    <row r="144" spans="3:7">
      <c r="C144" s="3"/>
      <c r="D144" s="41"/>
      <c r="E144" s="42"/>
      <c r="F144" s="3"/>
      <c r="G144" s="3"/>
    </row>
    <row r="145" spans="3:7">
      <c r="C145" s="3"/>
      <c r="D145" s="41"/>
      <c r="E145" s="42"/>
      <c r="F145" s="3"/>
      <c r="G145" s="3"/>
    </row>
    <row r="146" spans="3:7">
      <c r="C146" s="3"/>
      <c r="D146" s="41"/>
      <c r="E146" s="42"/>
      <c r="F146" s="3"/>
      <c r="G146" s="3"/>
    </row>
    <row r="147" spans="3:7">
      <c r="C147" s="3"/>
      <c r="D147" s="41"/>
      <c r="E147" s="42"/>
      <c r="F147" s="3"/>
      <c r="G147" s="3"/>
    </row>
    <row r="148" spans="3:7">
      <c r="C148" s="3"/>
      <c r="D148" s="41"/>
      <c r="E148" s="42"/>
      <c r="F148" s="3"/>
      <c r="G148" s="3"/>
    </row>
    <row r="149" spans="3:7">
      <c r="C149" s="3"/>
      <c r="D149" s="41"/>
      <c r="E149" s="42"/>
      <c r="F149" s="3"/>
      <c r="G149" s="3"/>
    </row>
    <row r="150" spans="3:7">
      <c r="C150" s="3"/>
      <c r="D150" s="41"/>
      <c r="E150" s="42"/>
      <c r="F150" s="3"/>
      <c r="G150" s="3"/>
    </row>
    <row r="151" spans="3:7">
      <c r="C151" s="3"/>
      <c r="D151" s="41"/>
      <c r="E151" s="42"/>
      <c r="F151" s="3"/>
      <c r="G151" s="3"/>
    </row>
    <row r="152" spans="3:7">
      <c r="C152" s="3"/>
      <c r="D152" s="41"/>
      <c r="E152" s="42"/>
      <c r="F152" s="3"/>
      <c r="G152" s="3"/>
    </row>
    <row r="153" spans="3:7">
      <c r="C153" s="3"/>
      <c r="D153" s="41"/>
      <c r="E153" s="42"/>
      <c r="F153" s="3"/>
      <c r="G153" s="3"/>
    </row>
    <row r="154" spans="3:7">
      <c r="C154" s="3"/>
      <c r="D154" s="41"/>
      <c r="E154" s="42"/>
      <c r="F154" s="3"/>
      <c r="G154" s="3"/>
    </row>
    <row r="155" spans="3:7">
      <c r="C155" s="3"/>
      <c r="D155" s="41"/>
      <c r="E155" s="42"/>
      <c r="F155" s="3"/>
      <c r="G155" s="3"/>
    </row>
    <row r="156" spans="3:7">
      <c r="C156" s="3"/>
      <c r="D156" s="41"/>
      <c r="E156" s="42"/>
      <c r="F156" s="3"/>
      <c r="G156" s="3"/>
    </row>
    <row r="157" spans="3:7">
      <c r="C157" s="3"/>
      <c r="D157" s="41"/>
      <c r="E157" s="42"/>
      <c r="F157" s="3"/>
      <c r="G157" s="3"/>
    </row>
    <row r="158" spans="3:7">
      <c r="C158" s="3"/>
      <c r="D158" s="41"/>
      <c r="E158" s="42"/>
      <c r="F158" s="3"/>
      <c r="G158" s="3"/>
    </row>
    <row r="159" spans="3:7">
      <c r="C159" s="3"/>
      <c r="D159" s="41"/>
      <c r="E159" s="42"/>
      <c r="F159" s="3"/>
      <c r="G159" s="3"/>
    </row>
    <row r="160" spans="3:7">
      <c r="C160" s="3"/>
      <c r="D160" s="41"/>
      <c r="E160" s="42"/>
      <c r="F160" s="3"/>
      <c r="G160" s="3"/>
    </row>
    <row r="161" spans="3:7">
      <c r="C161" s="3"/>
      <c r="D161" s="41"/>
      <c r="E161" s="42"/>
      <c r="F161" s="3"/>
      <c r="G161" s="3"/>
    </row>
    <row r="162" spans="3:7">
      <c r="C162" s="3"/>
      <c r="D162" s="41"/>
      <c r="E162" s="42"/>
      <c r="F162" s="3"/>
      <c r="G162" s="3"/>
    </row>
    <row r="163" spans="3:7">
      <c r="C163" s="3"/>
      <c r="D163" s="41"/>
      <c r="E163" s="42"/>
      <c r="F163" s="3"/>
      <c r="G163" s="3"/>
    </row>
    <row r="164" spans="3:7">
      <c r="C164" s="3"/>
      <c r="D164" s="41"/>
      <c r="E164" s="42"/>
      <c r="F164" s="3"/>
      <c r="G164" s="3"/>
    </row>
    <row r="165" spans="3:7">
      <c r="C165" s="3"/>
      <c r="D165" s="41"/>
      <c r="E165" s="42"/>
      <c r="F165" s="3"/>
      <c r="G165" s="3"/>
    </row>
    <row r="166" spans="3:7">
      <c r="C166" s="3"/>
      <c r="D166" s="41"/>
      <c r="E166" s="42"/>
      <c r="F166" s="3"/>
      <c r="G166" s="3"/>
    </row>
    <row r="167" spans="3:7">
      <c r="C167" s="3"/>
      <c r="D167" s="41"/>
      <c r="E167" s="42"/>
      <c r="F167" s="3"/>
      <c r="G167" s="3"/>
    </row>
    <row r="168" spans="3:7">
      <c r="C168" s="3"/>
      <c r="D168" s="41"/>
      <c r="E168" s="42"/>
      <c r="F168" s="3"/>
      <c r="G168" s="3"/>
    </row>
    <row r="169" spans="3:7">
      <c r="C169" s="3"/>
      <c r="D169" s="41"/>
      <c r="E169" s="42"/>
      <c r="F169" s="3"/>
      <c r="G169" s="3"/>
    </row>
    <row r="170" spans="3:7">
      <c r="C170" s="3"/>
      <c r="D170" s="41"/>
      <c r="E170" s="42"/>
      <c r="F170" s="3"/>
      <c r="G170" s="3"/>
    </row>
    <row r="171" spans="3:7">
      <c r="C171" s="3"/>
      <c r="D171" s="41"/>
      <c r="E171" s="42"/>
      <c r="F171" s="3"/>
      <c r="G171" s="3"/>
    </row>
    <row r="172" spans="3:7">
      <c r="C172" s="3"/>
      <c r="D172" s="41"/>
      <c r="E172" s="42"/>
      <c r="F172" s="3"/>
      <c r="G172" s="3"/>
    </row>
    <row r="173" spans="3:7">
      <c r="C173" s="3"/>
      <c r="D173" s="41"/>
      <c r="E173" s="42"/>
      <c r="F173" s="3"/>
      <c r="G173" s="3"/>
    </row>
    <row r="174" spans="3:7">
      <c r="C174" s="3"/>
      <c r="D174" s="41"/>
      <c r="E174" s="42"/>
      <c r="F174" s="3"/>
      <c r="G174" s="3"/>
    </row>
    <row r="175" spans="3:7">
      <c r="C175" s="3"/>
      <c r="D175" s="41"/>
      <c r="E175" s="42"/>
      <c r="F175" s="3"/>
      <c r="G175" s="3"/>
    </row>
    <row r="176" spans="3:7">
      <c r="C176" s="3"/>
      <c r="D176" s="41"/>
      <c r="E176" s="42"/>
      <c r="F176" s="3"/>
      <c r="G176" s="3"/>
    </row>
    <row r="177" spans="3:7">
      <c r="C177" s="3"/>
      <c r="D177" s="41"/>
      <c r="E177" s="42"/>
      <c r="F177" s="3"/>
      <c r="G177" s="3"/>
    </row>
    <row r="178" spans="3:7">
      <c r="C178" s="3"/>
      <c r="D178" s="41"/>
      <c r="E178" s="42"/>
      <c r="F178" s="3"/>
      <c r="G178" s="3"/>
    </row>
    <row r="179" spans="3:7">
      <c r="C179" s="3"/>
      <c r="D179" s="41"/>
      <c r="E179" s="42"/>
      <c r="F179" s="3"/>
      <c r="G179" s="3"/>
    </row>
    <row r="180" spans="3:7">
      <c r="C180" s="3"/>
      <c r="D180" s="41"/>
      <c r="E180" s="42"/>
      <c r="F180" s="3"/>
      <c r="G180" s="3"/>
    </row>
    <row r="181" spans="3:7">
      <c r="C181" s="3"/>
      <c r="D181" s="41"/>
      <c r="E181" s="42"/>
      <c r="F181" s="3"/>
      <c r="G181" s="3"/>
    </row>
    <row r="182" spans="3:7">
      <c r="C182" s="3"/>
      <c r="D182" s="41"/>
      <c r="E182" s="42"/>
      <c r="F182" s="3"/>
      <c r="G182" s="3"/>
    </row>
    <row r="183" spans="3:7">
      <c r="C183" s="3"/>
      <c r="D183" s="41"/>
      <c r="E183" s="42"/>
      <c r="F183" s="3"/>
      <c r="G183" s="3"/>
    </row>
    <row r="184" spans="3:7">
      <c r="C184" s="3"/>
      <c r="D184" s="41"/>
      <c r="E184" s="42"/>
      <c r="F184" s="3"/>
      <c r="G184" s="3"/>
    </row>
    <row r="185" spans="3:7">
      <c r="C185" s="3"/>
      <c r="D185" s="41"/>
      <c r="E185" s="42"/>
      <c r="F185" s="3"/>
      <c r="G185" s="3"/>
    </row>
    <row r="186" spans="3:7">
      <c r="C186" s="3"/>
      <c r="D186" s="41"/>
      <c r="E186" s="42"/>
      <c r="F186" s="3"/>
      <c r="G186" s="3"/>
    </row>
    <row r="187" spans="3:7">
      <c r="C187" s="3"/>
      <c r="D187" s="41"/>
      <c r="E187" s="42"/>
      <c r="F187" s="3"/>
      <c r="G187" s="3"/>
    </row>
    <row r="188" spans="3:7">
      <c r="C188" s="3"/>
      <c r="D188" s="41"/>
      <c r="E188" s="42"/>
      <c r="F188" s="3"/>
      <c r="G188" s="3"/>
    </row>
    <row r="189" spans="3:7">
      <c r="C189" s="3"/>
      <c r="D189" s="41"/>
      <c r="E189" s="42"/>
      <c r="F189" s="3"/>
      <c r="G189" s="3"/>
    </row>
    <row r="190" spans="3:7">
      <c r="C190" s="3"/>
      <c r="D190" s="41"/>
      <c r="E190" s="42"/>
      <c r="F190" s="3"/>
      <c r="G190" s="3"/>
    </row>
    <row r="191" spans="3:7">
      <c r="C191" s="3"/>
      <c r="D191" s="41"/>
      <c r="E191" s="42"/>
      <c r="F191" s="3"/>
      <c r="G191" s="3"/>
    </row>
    <row r="192" spans="3:7">
      <c r="C192" s="3"/>
      <c r="D192" s="41"/>
      <c r="E192" s="42"/>
      <c r="F192" s="3"/>
      <c r="G192" s="3"/>
    </row>
    <row r="193" spans="3:7">
      <c r="C193" s="3"/>
      <c r="D193" s="41"/>
      <c r="E193" s="42"/>
      <c r="F193" s="3"/>
      <c r="G193" s="3"/>
    </row>
    <row r="194" spans="3:7">
      <c r="C194" s="3"/>
      <c r="D194" s="41"/>
      <c r="E194" s="42"/>
      <c r="F194" s="3"/>
      <c r="G194" s="3"/>
    </row>
    <row r="195" spans="3:7">
      <c r="C195" s="3"/>
      <c r="D195" s="41"/>
      <c r="E195" s="42"/>
      <c r="F195" s="3"/>
      <c r="G195" s="3"/>
    </row>
    <row r="196" spans="3:7">
      <c r="C196" s="3"/>
      <c r="D196" s="41"/>
      <c r="E196" s="42"/>
      <c r="F196" s="3"/>
      <c r="G196" s="3"/>
    </row>
    <row r="197" spans="3:7">
      <c r="C197" s="3"/>
      <c r="D197" s="41"/>
      <c r="E197" s="42"/>
      <c r="F197" s="3"/>
      <c r="G197" s="3"/>
    </row>
    <row r="198" spans="3:7">
      <c r="C198" s="3"/>
      <c r="D198" s="41"/>
      <c r="E198" s="42"/>
      <c r="F198" s="3"/>
      <c r="G198" s="3"/>
    </row>
    <row r="199" spans="3:7">
      <c r="C199" s="3"/>
      <c r="D199" s="41"/>
      <c r="E199" s="42"/>
      <c r="F199" s="3"/>
      <c r="G199" s="3"/>
    </row>
    <row r="200" spans="3:7">
      <c r="C200" s="3"/>
      <c r="D200" s="41"/>
      <c r="E200" s="42"/>
      <c r="F200" s="3"/>
      <c r="G200" s="3"/>
    </row>
    <row r="201" spans="3:7">
      <c r="C201" s="3"/>
      <c r="D201" s="41"/>
      <c r="E201" s="42"/>
      <c r="F201" s="3"/>
      <c r="G201" s="3"/>
    </row>
    <row r="202" spans="3:7">
      <c r="C202" s="3"/>
      <c r="D202" s="41"/>
      <c r="E202" s="42"/>
      <c r="F202" s="3"/>
      <c r="G202" s="3"/>
    </row>
    <row r="203" spans="3:7">
      <c r="C203" s="3"/>
      <c r="D203" s="41"/>
      <c r="E203" s="42"/>
      <c r="F203" s="3"/>
      <c r="G203" s="3"/>
    </row>
    <row r="204" spans="3:7">
      <c r="C204" s="3"/>
      <c r="D204" s="41"/>
      <c r="E204" s="42"/>
      <c r="F204" s="3"/>
      <c r="G204" s="3"/>
    </row>
    <row r="205" spans="3:7">
      <c r="C205" s="3"/>
      <c r="D205" s="41"/>
      <c r="E205" s="42"/>
      <c r="F205" s="3"/>
      <c r="G205" s="3"/>
    </row>
    <row r="206" spans="3:7">
      <c r="C206" s="3"/>
      <c r="D206" s="41"/>
      <c r="E206" s="42"/>
      <c r="F206" s="3"/>
      <c r="G206" s="3"/>
    </row>
    <row r="207" spans="3:7">
      <c r="C207" s="3"/>
      <c r="D207" s="41"/>
      <c r="E207" s="42"/>
      <c r="F207" s="3"/>
      <c r="G207" s="3"/>
    </row>
    <row r="208" spans="3:7">
      <c r="C208" s="3"/>
      <c r="D208" s="41"/>
      <c r="E208" s="42"/>
      <c r="F208" s="3"/>
      <c r="G208" s="3"/>
    </row>
    <row r="209" spans="3:7">
      <c r="C209" s="3"/>
      <c r="D209" s="41"/>
      <c r="E209" s="42"/>
      <c r="F209" s="3"/>
      <c r="G209" s="3"/>
    </row>
    <row r="210" spans="3:7">
      <c r="C210" s="3"/>
      <c r="D210" s="41"/>
      <c r="E210" s="42"/>
      <c r="F210" s="3"/>
      <c r="G210" s="3"/>
    </row>
    <row r="211" spans="3:7">
      <c r="C211" s="3"/>
      <c r="D211" s="41"/>
      <c r="E211" s="42"/>
      <c r="F211" s="3"/>
      <c r="G211" s="3"/>
    </row>
    <row r="212" spans="3:7">
      <c r="C212" s="3"/>
      <c r="D212" s="41"/>
      <c r="E212" s="42"/>
      <c r="F212" s="3"/>
      <c r="G212" s="3"/>
    </row>
    <row r="213" spans="3:7">
      <c r="C213" s="3"/>
      <c r="D213" s="41"/>
      <c r="E213" s="42"/>
      <c r="F213" s="3"/>
      <c r="G213" s="3"/>
    </row>
    <row r="214" spans="3:7">
      <c r="C214" s="3"/>
      <c r="D214" s="41"/>
      <c r="E214" s="42"/>
      <c r="F214" s="3"/>
      <c r="G214" s="3"/>
    </row>
    <row r="215" spans="3:7">
      <c r="C215" s="3"/>
      <c r="D215" s="41"/>
      <c r="E215" s="42"/>
      <c r="F215" s="3"/>
      <c r="G215" s="3"/>
    </row>
    <row r="216" spans="3:7">
      <c r="C216" s="3"/>
      <c r="D216" s="41"/>
      <c r="E216" s="42"/>
      <c r="F216" s="3"/>
      <c r="G216" s="3"/>
    </row>
    <row r="217" spans="3:7">
      <c r="C217" s="3"/>
      <c r="D217" s="41"/>
      <c r="E217" s="42"/>
      <c r="F217" s="3"/>
      <c r="G217" s="3"/>
    </row>
    <row r="218" spans="3:7">
      <c r="C218" s="3"/>
      <c r="D218" s="41"/>
      <c r="E218" s="42"/>
      <c r="F218" s="3"/>
      <c r="G218" s="3"/>
    </row>
    <row r="219" spans="3:7">
      <c r="C219" s="3"/>
      <c r="D219" s="41"/>
      <c r="E219" s="42"/>
      <c r="F219" s="3"/>
      <c r="G219" s="3"/>
    </row>
    <row r="220" spans="3:7">
      <c r="C220" s="3"/>
      <c r="D220" s="41"/>
      <c r="E220" s="42"/>
      <c r="F220" s="3"/>
      <c r="G220" s="3"/>
    </row>
    <row r="221" spans="3:7">
      <c r="C221" s="3"/>
      <c r="D221" s="41"/>
      <c r="E221" s="42"/>
      <c r="F221" s="3"/>
      <c r="G221" s="3"/>
    </row>
    <row r="222" spans="3:7">
      <c r="C222" s="3"/>
      <c r="D222" s="41"/>
      <c r="E222" s="42"/>
      <c r="F222" s="3"/>
      <c r="G222" s="3"/>
    </row>
    <row r="223" spans="3:7">
      <c r="C223" s="3"/>
      <c r="D223" s="41"/>
      <c r="E223" s="42"/>
      <c r="F223" s="3"/>
      <c r="G223" s="3"/>
    </row>
    <row r="224" spans="3:7">
      <c r="C224" s="3"/>
      <c r="D224" s="41"/>
      <c r="E224" s="42"/>
      <c r="F224" s="3"/>
      <c r="G224" s="3"/>
    </row>
    <row r="225" spans="3:7">
      <c r="C225" s="3"/>
      <c r="D225" s="41"/>
      <c r="E225" s="42"/>
      <c r="F225" s="3"/>
      <c r="G225" s="3"/>
    </row>
    <row r="226" spans="3:7">
      <c r="C226" s="3"/>
      <c r="D226" s="41"/>
      <c r="E226" s="42"/>
      <c r="F226" s="3"/>
      <c r="G226" s="3"/>
    </row>
    <row r="227" spans="3:7">
      <c r="C227" s="3"/>
      <c r="D227" s="41"/>
      <c r="E227" s="42"/>
      <c r="F227" s="3"/>
      <c r="G227" s="3"/>
    </row>
    <row r="228" spans="3:7">
      <c r="C228" s="3"/>
      <c r="D228" s="41"/>
      <c r="E228" s="42"/>
      <c r="F228" s="3"/>
      <c r="G228" s="3"/>
    </row>
    <row r="229" spans="3:7">
      <c r="C229" s="3"/>
      <c r="D229" s="41"/>
      <c r="E229" s="42"/>
      <c r="F229" s="3"/>
      <c r="G229" s="3"/>
    </row>
    <row r="230" spans="3:7">
      <c r="C230" s="3"/>
      <c r="D230" s="41"/>
      <c r="E230" s="42"/>
      <c r="F230" s="3"/>
      <c r="G230" s="3"/>
    </row>
    <row r="231" spans="3:7">
      <c r="C231" s="3"/>
      <c r="D231" s="41"/>
      <c r="E231" s="42"/>
      <c r="F231" s="3"/>
      <c r="G231" s="3"/>
    </row>
    <row r="232" spans="3:7">
      <c r="C232" s="3"/>
      <c r="D232" s="41"/>
      <c r="E232" s="42"/>
      <c r="F232" s="3"/>
      <c r="G232" s="3"/>
    </row>
    <row r="233" spans="3:7">
      <c r="C233" s="3"/>
      <c r="D233" s="41"/>
      <c r="E233" s="42"/>
      <c r="F233" s="3"/>
      <c r="G233" s="3"/>
    </row>
    <row r="234" spans="3:7">
      <c r="C234" s="3"/>
      <c r="D234" s="41"/>
      <c r="E234" s="42"/>
      <c r="F234" s="3"/>
      <c r="G234" s="3"/>
    </row>
    <row r="235" spans="3:7">
      <c r="C235" s="3"/>
      <c r="D235" s="41"/>
      <c r="E235" s="42"/>
      <c r="F235" s="3"/>
      <c r="G235" s="3"/>
    </row>
    <row r="236" spans="3:7">
      <c r="C236" s="3"/>
      <c r="D236" s="41"/>
      <c r="E236" s="42"/>
      <c r="F236" s="3"/>
      <c r="G236" s="3"/>
    </row>
    <row r="237" spans="3:7">
      <c r="C237" s="3"/>
      <c r="D237" s="41"/>
      <c r="E237" s="42"/>
      <c r="F237" s="3"/>
      <c r="G237" s="3"/>
    </row>
    <row r="238" spans="3:7">
      <c r="C238" s="3"/>
      <c r="D238" s="41"/>
      <c r="E238" s="42"/>
      <c r="F238" s="3"/>
      <c r="G238" s="3"/>
    </row>
    <row r="239" spans="3:7">
      <c r="C239" s="3"/>
      <c r="D239" s="41"/>
      <c r="E239" s="42"/>
      <c r="F239" s="3"/>
      <c r="G239" s="3"/>
    </row>
    <row r="240" spans="3:7">
      <c r="C240" s="3"/>
      <c r="D240" s="41"/>
      <c r="E240" s="42"/>
      <c r="F240" s="3"/>
      <c r="G240" s="3"/>
    </row>
    <row r="241" spans="3:7">
      <c r="C241" s="3"/>
      <c r="D241" s="41"/>
      <c r="E241" s="42"/>
      <c r="F241" s="3"/>
      <c r="G241" s="3"/>
    </row>
    <row r="242" spans="3:7">
      <c r="C242" s="3"/>
      <c r="D242" s="41"/>
      <c r="E242" s="42"/>
      <c r="F242" s="3"/>
      <c r="G242" s="3"/>
    </row>
    <row r="243" spans="3:7">
      <c r="C243" s="3"/>
      <c r="D243" s="41"/>
      <c r="E243" s="42"/>
      <c r="F243" s="3"/>
      <c r="G243" s="3"/>
    </row>
    <row r="244" spans="3:7">
      <c r="C244" s="3"/>
      <c r="D244" s="41"/>
      <c r="E244" s="42"/>
      <c r="F244" s="3"/>
      <c r="G244" s="3"/>
    </row>
    <row r="245" spans="3:7">
      <c r="C245" s="3"/>
      <c r="D245" s="41"/>
      <c r="E245" s="42"/>
      <c r="F245" s="3"/>
      <c r="G245" s="3"/>
    </row>
    <row r="246" spans="3:7">
      <c r="C246" s="3"/>
      <c r="D246" s="41"/>
      <c r="E246" s="42"/>
      <c r="F246" s="3"/>
      <c r="G246" s="3"/>
    </row>
    <row r="247" spans="3:7">
      <c r="C247" s="3"/>
      <c r="D247" s="41"/>
      <c r="E247" s="42"/>
      <c r="F247" s="3"/>
      <c r="G247" s="3"/>
    </row>
    <row r="248" spans="3:7">
      <c r="C248" s="3"/>
      <c r="D248" s="41"/>
      <c r="E248" s="42"/>
      <c r="F248" s="3"/>
      <c r="G248" s="3"/>
    </row>
    <row r="249" spans="3:7">
      <c r="C249" s="3"/>
      <c r="D249" s="41"/>
      <c r="E249" s="42"/>
      <c r="F249" s="3"/>
      <c r="G249" s="3"/>
    </row>
    <row r="250" spans="3:7">
      <c r="C250" s="3"/>
      <c r="D250" s="41"/>
      <c r="E250" s="42"/>
      <c r="F250" s="3"/>
      <c r="G250" s="3"/>
    </row>
    <row r="251" spans="3:7">
      <c r="C251" s="3"/>
      <c r="D251" s="41"/>
      <c r="E251" s="42"/>
      <c r="F251" s="3"/>
      <c r="G251" s="3"/>
    </row>
    <row r="252" spans="3:7">
      <c r="C252" s="3"/>
      <c r="D252" s="41"/>
      <c r="E252" s="42"/>
      <c r="F252" s="3"/>
      <c r="G252" s="3"/>
    </row>
    <row r="253" spans="3:7">
      <c r="C253" s="3"/>
      <c r="D253" s="41"/>
      <c r="E253" s="42"/>
      <c r="F253" s="3"/>
      <c r="G253" s="3"/>
    </row>
    <row r="254" spans="3:7">
      <c r="C254" s="3"/>
      <c r="D254" s="41"/>
      <c r="E254" s="42"/>
      <c r="F254" s="3"/>
      <c r="G254" s="3"/>
    </row>
    <row r="255" spans="3:7">
      <c r="C255" s="3"/>
      <c r="D255" s="41"/>
      <c r="E255" s="42"/>
      <c r="F255" s="3"/>
      <c r="G255" s="3"/>
    </row>
    <row r="256" spans="3:7">
      <c r="C256" s="3"/>
      <c r="D256" s="41"/>
      <c r="E256" s="42"/>
      <c r="F256" s="3"/>
      <c r="G256" s="3"/>
    </row>
    <row r="257" spans="3:7">
      <c r="C257" s="3"/>
      <c r="D257" s="41"/>
      <c r="E257" s="42"/>
      <c r="F257" s="3"/>
      <c r="G257" s="3"/>
    </row>
    <row r="258" spans="3:7">
      <c r="C258" s="3"/>
      <c r="D258" s="41"/>
      <c r="E258" s="42"/>
      <c r="F258" s="3"/>
      <c r="G258" s="3"/>
    </row>
    <row r="259" spans="3:7">
      <c r="C259" s="3"/>
      <c r="D259" s="41"/>
      <c r="E259" s="42"/>
      <c r="F259" s="3"/>
      <c r="G259" s="3"/>
    </row>
    <row r="260" spans="3:7">
      <c r="C260" s="3"/>
      <c r="D260" s="41"/>
      <c r="E260" s="42"/>
      <c r="F260" s="3"/>
      <c r="G260" s="3"/>
    </row>
    <row r="261" spans="3:7">
      <c r="C261" s="3"/>
      <c r="D261" s="41"/>
      <c r="E261" s="42"/>
      <c r="F261" s="3"/>
      <c r="G261" s="3"/>
    </row>
    <row r="262" spans="3:7">
      <c r="C262" s="3"/>
      <c r="D262" s="41"/>
      <c r="E262" s="42"/>
      <c r="F262" s="3"/>
      <c r="G262" s="3"/>
    </row>
    <row r="263" spans="3:7">
      <c r="C263" s="3"/>
      <c r="D263" s="41"/>
      <c r="E263" s="42"/>
      <c r="F263" s="3"/>
      <c r="G263" s="3"/>
    </row>
    <row r="264" spans="3:7">
      <c r="C264" s="3"/>
      <c r="D264" s="41"/>
      <c r="E264" s="42"/>
      <c r="F264" s="3"/>
      <c r="G264" s="3"/>
    </row>
    <row r="265" spans="3:7">
      <c r="C265" s="3"/>
      <c r="D265" s="41"/>
      <c r="E265" s="42"/>
      <c r="F265" s="3"/>
      <c r="G265" s="3"/>
    </row>
    <row r="266" spans="3:7">
      <c r="C266" s="3"/>
      <c r="D266" s="41"/>
      <c r="E266" s="42"/>
      <c r="F266" s="3"/>
      <c r="G266" s="3"/>
    </row>
    <row r="267" spans="3:7">
      <c r="C267" s="3"/>
      <c r="D267" s="41"/>
      <c r="E267" s="42"/>
      <c r="F267" s="3"/>
      <c r="G267" s="3"/>
    </row>
    <row r="268" spans="3:7">
      <c r="C268" s="3"/>
      <c r="D268" s="41"/>
      <c r="E268" s="42"/>
      <c r="F268" s="3"/>
      <c r="G268" s="3"/>
    </row>
    <row r="269" spans="3:7">
      <c r="C269" s="3"/>
      <c r="D269" s="41"/>
      <c r="E269" s="42"/>
      <c r="F269" s="3"/>
      <c r="G269" s="3"/>
    </row>
    <row r="270" spans="3:7">
      <c r="C270" s="3"/>
      <c r="D270" s="41"/>
      <c r="E270" s="42"/>
      <c r="F270" s="3"/>
      <c r="G270" s="3"/>
    </row>
    <row r="271" spans="3:7">
      <c r="C271" s="3"/>
      <c r="D271" s="41"/>
      <c r="E271" s="42"/>
      <c r="F271" s="3"/>
      <c r="G271" s="3"/>
    </row>
    <row r="272" spans="3:7">
      <c r="C272" s="3"/>
      <c r="D272" s="41"/>
      <c r="E272" s="42"/>
      <c r="F272" s="3"/>
      <c r="G272" s="3"/>
    </row>
    <row r="273" spans="3:7">
      <c r="C273" s="3"/>
      <c r="D273" s="41"/>
      <c r="E273" s="42"/>
      <c r="F273" s="3"/>
      <c r="G273" s="3"/>
    </row>
    <row r="274" spans="3:7">
      <c r="C274" s="3"/>
      <c r="D274" s="41"/>
      <c r="E274" s="42"/>
      <c r="F274" s="3"/>
      <c r="G274" s="3"/>
    </row>
    <row r="275" spans="3:7">
      <c r="C275" s="3"/>
      <c r="D275" s="41"/>
      <c r="E275" s="42"/>
      <c r="F275" s="3"/>
      <c r="G275" s="3"/>
    </row>
    <row r="276" spans="3:7">
      <c r="C276" s="3"/>
      <c r="D276" s="41"/>
      <c r="E276" s="42"/>
      <c r="F276" s="3"/>
      <c r="G276" s="3"/>
    </row>
    <row r="277" spans="3:7">
      <c r="C277" s="3"/>
      <c r="D277" s="41"/>
      <c r="E277" s="42"/>
      <c r="F277" s="3"/>
      <c r="G277" s="3"/>
    </row>
    <row r="278" spans="3:7">
      <c r="C278" s="3"/>
      <c r="D278" s="41"/>
      <c r="E278" s="42"/>
      <c r="F278" s="3"/>
      <c r="G278" s="3"/>
    </row>
    <row r="279" spans="3:7">
      <c r="C279" s="3"/>
      <c r="D279" s="41"/>
      <c r="E279" s="42"/>
      <c r="F279" s="3"/>
      <c r="G279" s="3"/>
    </row>
    <row r="280" spans="3:7">
      <c r="C280" s="3"/>
      <c r="D280" s="41"/>
      <c r="E280" s="42"/>
      <c r="F280" s="3"/>
      <c r="G280" s="3"/>
    </row>
    <row r="281" spans="3:7">
      <c r="C281" s="3"/>
      <c r="D281" s="41"/>
      <c r="E281" s="42"/>
      <c r="F281" s="3"/>
      <c r="G281" s="3"/>
    </row>
    <row r="282" spans="3:7">
      <c r="C282" s="3"/>
      <c r="D282" s="41"/>
      <c r="E282" s="42"/>
      <c r="F282" s="3"/>
      <c r="G282" s="3"/>
    </row>
    <row r="283" spans="3:7">
      <c r="C283" s="3"/>
      <c r="D283" s="41"/>
      <c r="E283" s="42"/>
      <c r="F283" s="3"/>
      <c r="G283" s="3"/>
    </row>
    <row r="284" spans="3:7">
      <c r="C284" s="3"/>
      <c r="D284" s="41"/>
      <c r="E284" s="42"/>
      <c r="F284" s="3"/>
      <c r="G284" s="3"/>
    </row>
    <row r="285" spans="3:7">
      <c r="C285" s="3"/>
      <c r="D285" s="41"/>
      <c r="E285" s="42"/>
      <c r="F285" s="3"/>
      <c r="G285" s="3"/>
    </row>
    <row r="286" spans="3:7">
      <c r="C286" s="3"/>
      <c r="D286" s="41"/>
      <c r="E286" s="42"/>
      <c r="F286" s="3"/>
      <c r="G286" s="3"/>
    </row>
    <row r="287" spans="3:7">
      <c r="C287" s="3"/>
      <c r="D287" s="41"/>
      <c r="E287" s="42"/>
      <c r="F287" s="3"/>
      <c r="G287" s="3"/>
    </row>
    <row r="288" spans="3:7">
      <c r="C288" s="3"/>
      <c r="D288" s="41"/>
      <c r="E288" s="42"/>
      <c r="F288" s="3"/>
      <c r="G288" s="3"/>
    </row>
    <row r="289" spans="3:7">
      <c r="C289" s="3"/>
      <c r="D289" s="41"/>
      <c r="E289" s="42"/>
      <c r="F289" s="3"/>
      <c r="G289" s="3"/>
    </row>
    <row r="290" spans="3:7">
      <c r="C290" s="3"/>
      <c r="D290" s="41"/>
      <c r="E290" s="42"/>
      <c r="F290" s="3"/>
      <c r="G290" s="3"/>
    </row>
    <row r="291" spans="3:7">
      <c r="C291" s="3"/>
      <c r="D291" s="41"/>
      <c r="E291" s="42"/>
      <c r="F291" s="3"/>
      <c r="G291" s="3"/>
    </row>
    <row r="292" spans="3:7">
      <c r="C292" s="3"/>
      <c r="D292" s="41"/>
      <c r="E292" s="42"/>
      <c r="F292" s="3"/>
      <c r="G292" s="3"/>
    </row>
    <row r="293" spans="3:7">
      <c r="C293" s="3"/>
      <c r="D293" s="41"/>
      <c r="E293" s="42"/>
      <c r="F293" s="3"/>
      <c r="G293" s="3"/>
    </row>
    <row r="294" spans="3:7">
      <c r="C294" s="3"/>
      <c r="D294" s="41"/>
      <c r="E294" s="42"/>
      <c r="F294" s="3"/>
      <c r="G294" s="3"/>
    </row>
    <row r="295" spans="3:7">
      <c r="C295" s="3"/>
      <c r="D295" s="41"/>
      <c r="E295" s="42"/>
      <c r="F295" s="3"/>
      <c r="G295" s="3"/>
    </row>
    <row r="296" spans="3:7">
      <c r="C296" s="3"/>
      <c r="D296" s="41"/>
      <c r="E296" s="42"/>
      <c r="F296" s="3"/>
      <c r="G296" s="3"/>
    </row>
    <row r="297" spans="3:7">
      <c r="C297" s="3"/>
      <c r="D297" s="41"/>
      <c r="E297" s="42"/>
      <c r="F297" s="3"/>
      <c r="G297" s="3"/>
    </row>
    <row r="298" spans="3:7">
      <c r="C298" s="3"/>
      <c r="D298" s="41"/>
      <c r="E298" s="42"/>
      <c r="F298" s="3"/>
      <c r="G298" s="3"/>
    </row>
    <row r="299" spans="3:7">
      <c r="C299" s="3"/>
      <c r="D299" s="41"/>
      <c r="E299" s="42"/>
      <c r="F299" s="3"/>
      <c r="G299" s="3"/>
    </row>
    <row r="300" spans="3:7">
      <c r="C300" s="3"/>
      <c r="D300" s="41"/>
      <c r="E300" s="42"/>
      <c r="F300" s="3"/>
      <c r="G300" s="3"/>
    </row>
    <row r="301" spans="3:7">
      <c r="C301" s="3"/>
      <c r="D301" s="41"/>
      <c r="E301" s="42"/>
      <c r="F301" s="3"/>
      <c r="G301" s="3"/>
    </row>
    <row r="302" spans="3:7">
      <c r="C302" s="3"/>
      <c r="D302" s="41"/>
      <c r="E302" s="42"/>
      <c r="F302" s="3"/>
      <c r="G302" s="3"/>
    </row>
    <row r="303" spans="3:7">
      <c r="C303" s="3"/>
      <c r="D303" s="41"/>
      <c r="E303" s="42"/>
      <c r="F303" s="3"/>
      <c r="G303" s="3"/>
    </row>
    <row r="304" spans="3:7">
      <c r="C304" s="3"/>
      <c r="D304" s="41"/>
      <c r="E304" s="42"/>
      <c r="F304" s="3"/>
      <c r="G304" s="3"/>
    </row>
    <row r="305" spans="3:7">
      <c r="C305" s="3"/>
      <c r="D305" s="41"/>
      <c r="E305" s="42"/>
      <c r="F305" s="3"/>
      <c r="G305" s="3"/>
    </row>
    <row r="306" spans="3:7">
      <c r="C306" s="3"/>
      <c r="D306" s="41"/>
      <c r="E306" s="42"/>
      <c r="F306" s="3"/>
      <c r="G306" s="3"/>
    </row>
    <row r="307" spans="3:7">
      <c r="C307" s="3"/>
      <c r="D307" s="41"/>
      <c r="E307" s="42"/>
      <c r="F307" s="3"/>
      <c r="G307" s="3"/>
    </row>
    <row r="308" spans="3:7">
      <c r="C308" s="3"/>
      <c r="D308" s="41"/>
      <c r="E308" s="42"/>
      <c r="F308" s="3"/>
      <c r="G308" s="3"/>
    </row>
    <row r="309" spans="3:7">
      <c r="C309" s="3"/>
      <c r="D309" s="41"/>
      <c r="E309" s="42"/>
      <c r="F309" s="3"/>
      <c r="G309" s="3"/>
    </row>
    <row r="310" spans="3:7">
      <c r="C310" s="3"/>
      <c r="D310" s="41"/>
      <c r="E310" s="42"/>
      <c r="F310" s="3"/>
      <c r="G310" s="3"/>
    </row>
    <row r="311" spans="3:7">
      <c r="C311" s="3"/>
      <c r="D311" s="41"/>
      <c r="E311" s="42"/>
      <c r="F311" s="3"/>
      <c r="G311" s="3"/>
    </row>
    <row r="312" spans="3:7">
      <c r="C312" s="3"/>
      <c r="D312" s="41"/>
      <c r="E312" s="42"/>
      <c r="F312" s="3"/>
      <c r="G312" s="3"/>
    </row>
    <row r="313" spans="3:7">
      <c r="C313" s="3"/>
      <c r="D313" s="41"/>
      <c r="E313" s="42"/>
      <c r="F313" s="3"/>
      <c r="G313" s="3"/>
    </row>
    <row r="314" spans="3:7">
      <c r="C314" s="3"/>
      <c r="D314" s="41"/>
      <c r="E314" s="42"/>
      <c r="F314" s="3"/>
      <c r="G314" s="3"/>
    </row>
    <row r="315" spans="3:7">
      <c r="C315" s="3"/>
      <c r="D315" s="3"/>
      <c r="E315" s="42"/>
      <c r="F315" s="3"/>
      <c r="G315" s="3"/>
    </row>
    <row r="316" spans="3:7">
      <c r="C316" s="3"/>
      <c r="D316" s="3"/>
      <c r="E316" s="42"/>
      <c r="F316" s="3"/>
      <c r="G316" s="3"/>
    </row>
    <row r="317" spans="3:7">
      <c r="C317" s="3"/>
      <c r="D317" s="3"/>
      <c r="E317" s="42"/>
      <c r="F317" s="3"/>
      <c r="G317" s="3"/>
    </row>
    <row r="318" spans="3:7">
      <c r="C318" s="3"/>
      <c r="D318" s="3"/>
      <c r="E318" s="42"/>
      <c r="F318" s="3"/>
      <c r="G318" s="3"/>
    </row>
    <row r="319" spans="3:7">
      <c r="C319" s="3"/>
      <c r="D319" s="3"/>
      <c r="E319" s="42"/>
      <c r="F319" s="3"/>
      <c r="G319" s="3"/>
    </row>
    <row r="320" spans="3:7">
      <c r="C320" s="3"/>
      <c r="D320" s="3"/>
      <c r="E320" s="42"/>
      <c r="F320" s="3"/>
      <c r="G320" s="3"/>
    </row>
    <row r="321" spans="3:7">
      <c r="C321" s="3"/>
      <c r="D321" s="3"/>
      <c r="E321" s="42"/>
      <c r="F321" s="3"/>
      <c r="G321" s="3"/>
    </row>
    <row r="322" spans="3:7">
      <c r="C322" s="3"/>
      <c r="D322" s="3"/>
      <c r="E322" s="42"/>
      <c r="F322" s="3"/>
      <c r="G322" s="3"/>
    </row>
    <row r="323" spans="3:7">
      <c r="C323" s="3"/>
      <c r="D323" s="3"/>
      <c r="E323" s="42"/>
      <c r="F323" s="3"/>
      <c r="G323" s="3"/>
    </row>
    <row r="324" spans="3:7">
      <c r="C324" s="3"/>
      <c r="D324" s="3"/>
      <c r="E324" s="42"/>
      <c r="F324" s="3"/>
      <c r="G324" s="3"/>
    </row>
    <row r="325" spans="3:7">
      <c r="C325" s="3"/>
      <c r="D325" s="3"/>
      <c r="E325" s="42"/>
      <c r="F325" s="3"/>
      <c r="G325" s="3"/>
    </row>
    <row r="326" spans="3:7">
      <c r="C326" s="3"/>
      <c r="D326" s="3"/>
      <c r="E326" s="42"/>
      <c r="F326" s="3"/>
      <c r="G326" s="3"/>
    </row>
    <row r="327" spans="3:7">
      <c r="C327" s="3"/>
      <c r="D327" s="3"/>
      <c r="E327" s="42"/>
      <c r="F327" s="3"/>
      <c r="G327" s="3"/>
    </row>
    <row r="328" spans="3:7">
      <c r="C328" s="3"/>
      <c r="D328" s="3"/>
      <c r="E328" s="42"/>
      <c r="F328" s="3"/>
      <c r="G328" s="3"/>
    </row>
    <row r="329" spans="3:7">
      <c r="C329" s="3"/>
      <c r="D329" s="3"/>
      <c r="E329" s="42"/>
      <c r="F329" s="3"/>
      <c r="G329" s="3"/>
    </row>
    <row r="330" spans="3:7">
      <c r="C330" s="3"/>
      <c r="D330" s="3"/>
      <c r="E330" s="42"/>
      <c r="F330" s="3"/>
      <c r="G330" s="3"/>
    </row>
    <row r="331" spans="3:7">
      <c r="C331" s="3"/>
      <c r="D331" s="3"/>
      <c r="E331" s="42"/>
      <c r="F331" s="3"/>
      <c r="G331" s="3"/>
    </row>
    <row r="332" spans="3:7">
      <c r="C332" s="3"/>
      <c r="D332" s="3"/>
      <c r="E332" s="42"/>
      <c r="F332" s="3"/>
      <c r="G332" s="3"/>
    </row>
    <row r="333" spans="3:7">
      <c r="C333" s="3"/>
      <c r="D333" s="3"/>
      <c r="E333" s="42"/>
      <c r="F333" s="3"/>
      <c r="G333" s="3"/>
    </row>
    <row r="334" spans="3:7">
      <c r="C334" s="3"/>
      <c r="D334" s="3"/>
      <c r="E334" s="42"/>
      <c r="F334" s="3"/>
      <c r="G334" s="3"/>
    </row>
    <row r="335" spans="3:7">
      <c r="C335" s="3"/>
      <c r="D335" s="3"/>
      <c r="E335" s="42"/>
      <c r="F335" s="3"/>
      <c r="G335" s="3"/>
    </row>
    <row r="336" spans="3:7">
      <c r="C336" s="3"/>
      <c r="D336" s="3"/>
      <c r="E336" s="42"/>
      <c r="F336" s="3"/>
      <c r="G336" s="3"/>
    </row>
    <row r="337" spans="3:7">
      <c r="C337" s="3"/>
      <c r="D337" s="3"/>
      <c r="E337" s="42"/>
      <c r="F337" s="3"/>
      <c r="G337" s="3"/>
    </row>
    <row r="338" spans="3:7">
      <c r="C338" s="3"/>
      <c r="D338" s="3"/>
      <c r="E338" s="42"/>
      <c r="F338" s="3"/>
      <c r="G338" s="3"/>
    </row>
    <row r="339" spans="3:7">
      <c r="C339" s="3"/>
      <c r="D339" s="3"/>
      <c r="E339" s="42"/>
      <c r="F339" s="3"/>
      <c r="G339" s="3"/>
    </row>
    <row r="340" spans="3:7">
      <c r="C340" s="3"/>
      <c r="D340" s="3"/>
      <c r="E340" s="42"/>
      <c r="F340" s="3"/>
      <c r="G340" s="3"/>
    </row>
    <row r="341" spans="3:7">
      <c r="C341" s="3"/>
      <c r="D341" s="3"/>
      <c r="E341" s="42"/>
      <c r="F341" s="3"/>
      <c r="G341" s="3"/>
    </row>
    <row r="342" spans="3:7">
      <c r="C342" s="3"/>
      <c r="D342" s="3"/>
      <c r="E342" s="42"/>
      <c r="F342" s="3"/>
      <c r="G342" s="3"/>
    </row>
    <row r="343" spans="3:7">
      <c r="C343" s="3"/>
      <c r="D343" s="3"/>
      <c r="E343" s="42"/>
      <c r="F343" s="3"/>
      <c r="G343" s="3"/>
    </row>
    <row r="344" spans="3:7">
      <c r="C344" s="3"/>
      <c r="D344" s="3"/>
      <c r="E344" s="42"/>
      <c r="F344" s="3"/>
      <c r="G344" s="3"/>
    </row>
    <row r="345" spans="3:7">
      <c r="C345" s="3"/>
      <c r="D345" s="3"/>
      <c r="E345" s="42"/>
      <c r="F345" s="3"/>
      <c r="G345" s="3"/>
    </row>
    <row r="346" spans="3:7">
      <c r="C346" s="3"/>
      <c r="D346" s="3"/>
      <c r="E346" s="42"/>
      <c r="F346" s="3"/>
      <c r="G346" s="3"/>
    </row>
    <row r="347" spans="3:7">
      <c r="C347" s="3"/>
      <c r="D347" s="3"/>
      <c r="E347" s="42"/>
      <c r="F347" s="3"/>
      <c r="G347" s="3"/>
    </row>
    <row r="348" spans="3:7">
      <c r="C348" s="3"/>
      <c r="D348" s="3"/>
      <c r="E348" s="42"/>
      <c r="F348" s="3"/>
      <c r="G348" s="3"/>
    </row>
    <row r="349" spans="3:7">
      <c r="C349" s="3"/>
      <c r="D349" s="3"/>
      <c r="E349" s="42"/>
      <c r="F349" s="3"/>
      <c r="G349" s="3"/>
    </row>
    <row r="350" spans="3:7">
      <c r="C350" s="3"/>
      <c r="D350" s="3"/>
      <c r="E350" s="42"/>
      <c r="F350" s="3"/>
      <c r="G350" s="3"/>
    </row>
    <row r="351" spans="3:7">
      <c r="C351" s="3"/>
      <c r="D351" s="3"/>
      <c r="E351" s="42"/>
      <c r="F351" s="3"/>
      <c r="G351" s="3"/>
    </row>
    <row r="352" spans="3:7">
      <c r="C352" s="3"/>
      <c r="D352" s="3"/>
      <c r="E352" s="42"/>
      <c r="F352" s="3"/>
      <c r="G352" s="3"/>
    </row>
    <row r="353" spans="3:7">
      <c r="C353" s="3"/>
      <c r="D353" s="3"/>
      <c r="E353" s="42"/>
      <c r="F353" s="3"/>
      <c r="G353" s="3"/>
    </row>
    <row r="354" spans="3:7">
      <c r="C354" s="3"/>
      <c r="D354" s="3"/>
      <c r="E354" s="42"/>
      <c r="F354" s="3"/>
      <c r="G354" s="3"/>
    </row>
    <row r="355" spans="3:7">
      <c r="C355" s="3"/>
      <c r="D355" s="3"/>
      <c r="E355" s="42"/>
      <c r="F355" s="3"/>
      <c r="G355" s="3"/>
    </row>
    <row r="356" spans="3:7">
      <c r="C356" s="3"/>
      <c r="D356" s="3"/>
      <c r="E356" s="42"/>
      <c r="F356" s="3"/>
      <c r="G356" s="3"/>
    </row>
    <row r="357" spans="3:7">
      <c r="C357" s="3"/>
      <c r="D357" s="3"/>
      <c r="E357" s="42"/>
      <c r="F357" s="3"/>
      <c r="G357" s="3"/>
    </row>
    <row r="358" spans="3:7">
      <c r="C358" s="3"/>
      <c r="D358" s="3"/>
      <c r="E358" s="42"/>
      <c r="F358" s="3"/>
      <c r="G358" s="3"/>
    </row>
    <row r="359" spans="3:7">
      <c r="C359" s="3"/>
      <c r="D359" s="3"/>
      <c r="E359" s="42"/>
      <c r="F359" s="3"/>
      <c r="G359" s="3"/>
    </row>
    <row r="360" spans="3:7">
      <c r="C360" s="3"/>
      <c r="D360" s="3"/>
      <c r="E360" s="42"/>
      <c r="F360" s="3"/>
      <c r="G360" s="3"/>
    </row>
    <row r="361" spans="3:7">
      <c r="C361" s="3"/>
      <c r="D361" s="3"/>
      <c r="E361" s="42"/>
      <c r="F361" s="3"/>
      <c r="G361" s="3"/>
    </row>
    <row r="362" spans="3:7">
      <c r="C362" s="3"/>
      <c r="D362" s="3"/>
      <c r="E362" s="42"/>
      <c r="F362" s="3"/>
      <c r="G362" s="3"/>
    </row>
    <row r="363" spans="3:7">
      <c r="C363" s="3"/>
      <c r="D363" s="3"/>
      <c r="E363" s="42"/>
      <c r="F363" s="3"/>
      <c r="G363" s="3"/>
    </row>
    <row r="364" spans="3:7">
      <c r="C364" s="3"/>
      <c r="D364" s="3"/>
      <c r="E364" s="42"/>
      <c r="F364" s="3"/>
      <c r="G364" s="3"/>
    </row>
    <row r="365" spans="3:7">
      <c r="C365" s="3"/>
      <c r="D365" s="3"/>
      <c r="E365" s="42"/>
      <c r="F365" s="3"/>
      <c r="G365" s="3"/>
    </row>
    <row r="366" spans="3:7">
      <c r="C366" s="3"/>
      <c r="D366" s="3"/>
      <c r="E366" s="42"/>
      <c r="F366" s="3"/>
      <c r="G366" s="3"/>
    </row>
    <row r="367" spans="3:7">
      <c r="C367" s="3"/>
      <c r="D367" s="3"/>
      <c r="E367" s="42"/>
      <c r="F367" s="3"/>
      <c r="G367" s="3"/>
    </row>
    <row r="368" spans="3:7">
      <c r="C368" s="3"/>
      <c r="D368" s="3"/>
      <c r="E368" s="42"/>
      <c r="F368" s="3"/>
      <c r="G368" s="3"/>
    </row>
    <row r="369" spans="3:7">
      <c r="C369" s="3"/>
      <c r="D369" s="3"/>
      <c r="E369" s="42"/>
      <c r="F369" s="3"/>
      <c r="G369" s="3"/>
    </row>
    <row r="370" spans="3:7">
      <c r="C370" s="3"/>
      <c r="D370" s="3"/>
      <c r="E370" s="42"/>
      <c r="F370" s="3"/>
      <c r="G370" s="3"/>
    </row>
    <row r="371" spans="3:7">
      <c r="C371" s="3"/>
      <c r="D371" s="3"/>
      <c r="E371" s="42"/>
      <c r="F371" s="3"/>
      <c r="G371" s="3"/>
    </row>
  </sheetData>
  <mergeCells count="8">
    <mergeCell ref="A50:R50"/>
    <mergeCell ref="F6:G7"/>
    <mergeCell ref="Q6:R7"/>
    <mergeCell ref="H6:O6"/>
    <mergeCell ref="N7:O7"/>
    <mergeCell ref="H7:I7"/>
    <mergeCell ref="J7:K7"/>
    <mergeCell ref="L7:M7"/>
  </mergeCells>
  <phoneticPr fontId="8" type="noConversion"/>
  <pageMargins left="0.7" right="0.7" top="0.75" bottom="0.75" header="0.3" footer="0.3"/>
  <pageSetup paperSize="9" orientation="portrait" horizontalDpi="200" verticalDpi="200" r:id="rId1"/>
  <drawing r:id="rId2"/>
  <legacyDrawing r:id="rId3"/>
  <oleObjects>
    <oleObject progId="Mathcad" shapeId="2049" r:id="rId4"/>
    <oleObject progId="Mathcad" shapeId="2050" r:id="rId5"/>
    <oleObject progId="Mathcad" shapeId="2051" r:id="rId6"/>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92</vt:i4>
      </vt:variant>
    </vt:vector>
  </HeadingPairs>
  <TitlesOfParts>
    <vt:vector size="96" baseType="lpstr">
      <vt:lpstr>Elec. Spec.</vt:lpstr>
      <vt:lpstr>Design Tool</vt:lpstr>
      <vt:lpstr>BodePlot_iLoop</vt:lpstr>
      <vt:lpstr>BodePlot_vLoop</vt:lpstr>
      <vt:lpstr>Aidc</vt:lpstr>
      <vt:lpstr>Cf1_eg</vt:lpstr>
      <vt:lpstr>Cic</vt:lpstr>
      <vt:lpstr>Cic0</vt:lpstr>
      <vt:lpstr>Cin_eg</vt:lpstr>
      <vt:lpstr>Cip</vt:lpstr>
      <vt:lpstr>Cip_Cic</vt:lpstr>
      <vt:lpstr>Cip0</vt:lpstr>
      <vt:lpstr>Cneg</vt:lpstr>
      <vt:lpstr>Cout</vt:lpstr>
      <vt:lpstr>Cout_min</vt:lpstr>
      <vt:lpstr>Cvc</vt:lpstr>
      <vt:lpstr>Cvc_Cvp</vt:lpstr>
      <vt:lpstr>Cvc_S_Cvp</vt:lpstr>
      <vt:lpstr>Cvc0</vt:lpstr>
      <vt:lpstr>Cvp</vt:lpstr>
      <vt:lpstr>CVp0</vt:lpstr>
      <vt:lpstr>Df</vt:lpstr>
      <vt:lpstr>DFi</vt:lpstr>
      <vt:lpstr>Eff</vt:lpstr>
      <vt:lpstr>Eff_eg</vt:lpstr>
      <vt:lpstr>Eff_min</vt:lpstr>
      <vt:lpstr>Eoff</vt:lpstr>
      <vt:lpstr>Eon</vt:lpstr>
      <vt:lpstr>ESR</vt:lpstr>
      <vt:lpstr>Fc</vt:lpstr>
      <vt:lpstr>Fcv</vt:lpstr>
      <vt:lpstr>Fline</vt:lpstr>
      <vt:lpstr>Fp</vt:lpstr>
      <vt:lpstr>Fp0</vt:lpstr>
      <vt:lpstr>Fpv</vt:lpstr>
      <vt:lpstr>Fpv0</vt:lpstr>
      <vt:lpstr>Fsw</vt:lpstr>
      <vt:lpstr>Fz</vt:lpstr>
      <vt:lpstr>Fz0</vt:lpstr>
      <vt:lpstr>Fzv</vt:lpstr>
      <vt:lpstr>Fzv0</vt:lpstr>
      <vt:lpstr>Gdiv</vt:lpstr>
      <vt:lpstr>Gmi</vt:lpstr>
      <vt:lpstr>Gmi_min</vt:lpstr>
      <vt:lpstr>Gmv</vt:lpstr>
      <vt:lpstr>Gps</vt:lpstr>
      <vt:lpstr>Ia</vt:lpstr>
      <vt:lpstr>Ic</vt:lpstr>
      <vt:lpstr>Icneg</vt:lpstr>
      <vt:lpstr>Icorms_max</vt:lpstr>
      <vt:lpstr>Ids_max</vt:lpstr>
      <vt:lpstr>Iinave_max</vt:lpstr>
      <vt:lpstr>Iinmax</vt:lpstr>
      <vt:lpstr>Ilpeak</vt:lpstr>
      <vt:lpstr>Ioc</vt:lpstr>
      <vt:lpstr>Iout_max</vt:lpstr>
      <vt:lpstr>Kav</vt:lpstr>
      <vt:lpstr>Kbo</vt:lpstr>
      <vt:lpstr>Kbo_</vt:lpstr>
      <vt:lpstr>Kc</vt:lpstr>
      <vt:lpstr>Kd</vt:lpstr>
      <vt:lpstr>Lbst</vt:lpstr>
      <vt:lpstr>Pcond</vt:lpstr>
      <vt:lpstr>Pfd</vt:lpstr>
      <vt:lpstr>PI</vt:lpstr>
      <vt:lpstr>PMC</vt:lpstr>
      <vt:lpstr>Pmv</vt:lpstr>
      <vt:lpstr>Po_eg</vt:lpstr>
      <vt:lpstr>Pomax</vt:lpstr>
      <vt:lpstr>Prr</vt:lpstr>
      <vt:lpstr>Prrd</vt:lpstr>
      <vt:lpstr>Psw</vt:lpstr>
      <vt:lpstr>Qrr</vt:lpstr>
      <vt:lpstr>Qrr_</vt:lpstr>
      <vt:lpstr>Rcs</vt:lpstr>
      <vt:lpstr>Rcs_min</vt:lpstr>
      <vt:lpstr>Rds_on</vt:lpstr>
      <vt:lpstr>Ric</vt:lpstr>
      <vt:lpstr>Ric0</vt:lpstr>
      <vt:lpstr>Rin_1</vt:lpstr>
      <vt:lpstr>Rin1_</vt:lpstr>
      <vt:lpstr>Rin2_</vt:lpstr>
      <vt:lpstr>Ris</vt:lpstr>
      <vt:lpstr>Rsen</vt:lpstr>
      <vt:lpstr>Rsen_min</vt:lpstr>
      <vt:lpstr>Rvc</vt:lpstr>
      <vt:lpstr>Thold</vt:lpstr>
      <vt:lpstr>Vf</vt:lpstr>
      <vt:lpstr>Vfbr</vt:lpstr>
      <vt:lpstr>Vhold</vt:lpstr>
      <vt:lpstr>Vm</vt:lpstr>
      <vt:lpstr>Vout</vt:lpstr>
      <vt:lpstr>Vref</vt:lpstr>
      <vt:lpstr>Vrms_max</vt:lpstr>
      <vt:lpstr>Vrms_min</vt:lpstr>
      <vt:lpstr>Vrms_nom_H</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2006-09-13T11:21:51Z</dcterms:created>
  <dcterms:modified xsi:type="dcterms:W3CDTF">2013-08-01T23:40:18Z</dcterms:modified>
</cp:coreProperties>
</file>